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8825" windowHeight="8280" activeTab="2"/>
  </bookViews>
  <sheets>
    <sheet name="PLANTILLA" sheetId="2" r:id="rId1"/>
    <sheet name="Liquidación Presta. Sociales" sheetId="4" r:id="rId2"/>
    <sheet name="Liquidación Presta. Sociale (2" sheetId="5" r:id="rId3"/>
    <sheet name="Hoja1" sheetId="3" r:id="rId4"/>
  </sheets>
  <calcPr calcId="144525"/>
</workbook>
</file>

<file path=xl/calcChain.xml><?xml version="1.0" encoding="utf-8"?>
<calcChain xmlns="http://schemas.openxmlformats.org/spreadsheetml/2006/main">
  <c r="D11" i="5" l="1"/>
  <c r="B14" i="5"/>
  <c r="D14" i="5"/>
  <c r="B16" i="5"/>
  <c r="D16" i="5"/>
  <c r="D22" i="5" s="1"/>
  <c r="D24" i="5" s="1"/>
  <c r="B18" i="5"/>
  <c r="D18" i="5"/>
  <c r="B20" i="5"/>
  <c r="D20" i="5"/>
  <c r="D11" i="4"/>
  <c r="B14" i="4"/>
  <c r="D14" i="4"/>
  <c r="D22" i="4" s="1"/>
  <c r="D24" i="4" s="1"/>
  <c r="B16" i="4"/>
  <c r="D16" i="4"/>
  <c r="B18" i="4"/>
  <c r="D18" i="4"/>
  <c r="B20" i="4"/>
  <c r="D20" i="4"/>
  <c r="D9" i="2" l="1"/>
  <c r="D10" i="2"/>
  <c r="E10" i="2" s="1"/>
  <c r="D11" i="2"/>
  <c r="F11" i="2" s="1"/>
  <c r="D12" i="2"/>
  <c r="D13" i="2"/>
  <c r="D14" i="2"/>
  <c r="E14" i="2" s="1"/>
  <c r="D8" i="2"/>
  <c r="F12" i="2"/>
  <c r="F13" i="2"/>
  <c r="E12" i="2"/>
  <c r="E13" i="2"/>
  <c r="F9" i="2"/>
  <c r="AA10" i="2"/>
  <c r="AA15" i="2"/>
  <c r="R15" i="2"/>
  <c r="P15" i="2"/>
  <c r="N15" i="2"/>
  <c r="L15" i="2"/>
  <c r="J15" i="2"/>
  <c r="H15" i="2"/>
  <c r="AA14" i="2"/>
  <c r="U14" i="2"/>
  <c r="S14" i="2"/>
  <c r="Q14" i="2"/>
  <c r="O14" i="2"/>
  <c r="M14" i="2"/>
  <c r="K14" i="2"/>
  <c r="I14" i="2"/>
  <c r="AA13" i="2"/>
  <c r="U13" i="2"/>
  <c r="S13" i="2"/>
  <c r="Q13" i="2"/>
  <c r="O13" i="2"/>
  <c r="M13" i="2"/>
  <c r="K13" i="2"/>
  <c r="I13" i="2"/>
  <c r="AA12" i="2"/>
  <c r="U12" i="2"/>
  <c r="S12" i="2"/>
  <c r="Q12" i="2"/>
  <c r="O12" i="2"/>
  <c r="M12" i="2"/>
  <c r="K12" i="2"/>
  <c r="I12" i="2"/>
  <c r="AA11" i="2"/>
  <c r="U11" i="2"/>
  <c r="S11" i="2"/>
  <c r="Q11" i="2"/>
  <c r="O11" i="2"/>
  <c r="M11" i="2"/>
  <c r="K11" i="2"/>
  <c r="I11" i="2"/>
  <c r="U10" i="2"/>
  <c r="S10" i="2"/>
  <c r="Q10" i="2"/>
  <c r="O10" i="2"/>
  <c r="M10" i="2"/>
  <c r="K10" i="2"/>
  <c r="I10" i="2"/>
  <c r="G15" i="2"/>
  <c r="U9" i="2"/>
  <c r="S9" i="2"/>
  <c r="Q9" i="2"/>
  <c r="O9" i="2"/>
  <c r="M9" i="2"/>
  <c r="K9" i="2"/>
  <c r="I9" i="2"/>
  <c r="U8" i="2"/>
  <c r="S8" i="2"/>
  <c r="Q8" i="2"/>
  <c r="O8" i="2"/>
  <c r="M8" i="2"/>
  <c r="I8" i="2"/>
  <c r="D15" i="2" l="1"/>
  <c r="F14" i="2"/>
  <c r="F10" i="2"/>
  <c r="X10" i="2" s="1"/>
  <c r="E8" i="2"/>
  <c r="E11" i="2"/>
  <c r="K15" i="2"/>
  <c r="O15" i="2"/>
  <c r="S15" i="2"/>
  <c r="E9" i="2"/>
  <c r="M15" i="2"/>
  <c r="Q15" i="2"/>
  <c r="U15" i="2"/>
  <c r="V12" i="2"/>
  <c r="V14" i="2"/>
  <c r="I15" i="2"/>
  <c r="V9" i="2"/>
  <c r="F8" i="2"/>
  <c r="V10" i="2"/>
  <c r="V11" i="2"/>
  <c r="V13" i="2"/>
  <c r="W15" i="2"/>
  <c r="V8" i="2"/>
  <c r="X14" i="2" l="1"/>
  <c r="Y14" i="2" s="1"/>
  <c r="X11" i="2"/>
  <c r="Z11" i="2" s="1"/>
  <c r="E15" i="2"/>
  <c r="X8" i="2"/>
  <c r="AA8" i="2" s="1"/>
  <c r="X12" i="2"/>
  <c r="Z12" i="2" s="1"/>
  <c r="X13" i="2"/>
  <c r="Z13" i="2" s="1"/>
  <c r="F15" i="2"/>
  <c r="V15" i="2"/>
  <c r="X9" i="2"/>
  <c r="AA9" i="2" s="1"/>
  <c r="Z10" i="2"/>
  <c r="Y10" i="2"/>
  <c r="Z14" i="2" l="1"/>
  <c r="AF14" i="2" s="1"/>
  <c r="AG14" i="2" s="1"/>
  <c r="Y11" i="2"/>
  <c r="AF11" i="2" s="1"/>
  <c r="AG11" i="2" s="1"/>
  <c r="Z8" i="2"/>
  <c r="Y12" i="2"/>
  <c r="AF12" i="2" s="1"/>
  <c r="AG12" i="2" s="1"/>
  <c r="Y13" i="2"/>
  <c r="AF13" i="2" s="1"/>
  <c r="AG13" i="2" s="1"/>
  <c r="Y8" i="2"/>
  <c r="X15" i="2"/>
  <c r="X16" i="2" s="1"/>
  <c r="AF10" i="2"/>
  <c r="AG10" i="2" s="1"/>
  <c r="Z9" i="2"/>
  <c r="Y9" i="2"/>
  <c r="AF8" i="2" l="1"/>
  <c r="AG8" i="2" s="1"/>
  <c r="Y15" i="2"/>
  <c r="Z15" i="2"/>
  <c r="AF9" i="2"/>
  <c r="AG9" i="2" s="1"/>
  <c r="T22" i="2"/>
  <c r="J21" i="2"/>
  <c r="T20" i="2"/>
  <c r="J19" i="2"/>
  <c r="Y16" i="2"/>
  <c r="T21" i="2"/>
  <c r="C21" i="2"/>
  <c r="J20" i="2"/>
  <c r="T19" i="2"/>
  <c r="Z16" i="2"/>
  <c r="AF15" i="2" l="1"/>
  <c r="AG15" i="2" s="1"/>
  <c r="AG16" i="2" s="1"/>
  <c r="R23" i="2"/>
  <c r="B22" i="2"/>
  <c r="H22" i="2"/>
</calcChain>
</file>

<file path=xl/sharedStrings.xml><?xml version="1.0" encoding="utf-8"?>
<sst xmlns="http://schemas.openxmlformats.org/spreadsheetml/2006/main" count="163" uniqueCount="111">
  <si>
    <t>EMPRESA</t>
  </si>
  <si>
    <t>NIT:</t>
  </si>
  <si>
    <t>PERIODO NOMINA</t>
  </si>
  <si>
    <t>NOMBRE DEL EMPLEADO</t>
  </si>
  <si>
    <t>DEVENGADO</t>
  </si>
  <si>
    <t>SUELDO BASICO</t>
  </si>
  <si>
    <t>DIAS W</t>
  </si>
  <si>
    <t>AUXILIO DE TRANSPORTE</t>
  </si>
  <si>
    <t>COMISIONES</t>
  </si>
  <si>
    <t>HORAS EXTRAS</t>
  </si>
  <si>
    <t>OTROS</t>
  </si>
  <si>
    <t>TOTAL DEVENGADO</t>
  </si>
  <si>
    <t>DEDUCCIONES</t>
  </si>
  <si>
    <t>SALUD 4%</t>
  </si>
  <si>
    <t>PENSION 4%</t>
  </si>
  <si>
    <t>FONDO SOLIDARID.</t>
  </si>
  <si>
    <t>TOTAL DEDUCCIONES</t>
  </si>
  <si>
    <t>VALOR NETO A PAGAR</t>
  </si>
  <si>
    <t>APORTES PARAFISCALES</t>
  </si>
  <si>
    <t>TOTAL</t>
  </si>
  <si>
    <t>APORTES SEGURIDAD SOCIAL</t>
  </si>
  <si>
    <t>PRESTACIONES SOCIALES</t>
  </si>
  <si>
    <t>CESANTIAS 8,33333%</t>
  </si>
  <si>
    <t>INTERES. CESANTIAS 1%</t>
  </si>
  <si>
    <t>PRIMA SERVICIOS 8,33333%</t>
  </si>
  <si>
    <t>VACACIONES 4,17%</t>
  </si>
  <si>
    <t>HORAS LAB. MES</t>
  </si>
  <si>
    <t>SALARIO</t>
  </si>
  <si>
    <t>SMLMV</t>
  </si>
  <si>
    <t>AUX. TRANSP. MENSUAL</t>
  </si>
  <si>
    <t>HORAS</t>
  </si>
  <si>
    <t>HED</t>
  </si>
  <si>
    <t>HEN</t>
  </si>
  <si>
    <t>RN</t>
  </si>
  <si>
    <t>HED/FD</t>
  </si>
  <si>
    <t>HED/FN</t>
  </si>
  <si>
    <t>HORAS LABOR. X TRABAJ. X DIA</t>
  </si>
  <si>
    <t>HORAS LABOR. X TRABAJ. MENS.</t>
  </si>
  <si>
    <t>Nº</t>
  </si>
  <si>
    <t>HOD/F</t>
  </si>
  <si>
    <t>RND/F</t>
  </si>
  <si>
    <t>TOTAL NOMINA</t>
  </si>
  <si>
    <t>SENA</t>
  </si>
  <si>
    <t xml:space="preserve">ICBF </t>
  </si>
  <si>
    <t>CAJA COMP. FAMILIAR</t>
  </si>
  <si>
    <t xml:space="preserve">SALUD </t>
  </si>
  <si>
    <t xml:space="preserve">PENSION </t>
  </si>
  <si>
    <t>SINDICATO</t>
  </si>
  <si>
    <t>COOPERATIVA</t>
  </si>
  <si>
    <t>PRESTAMO</t>
  </si>
  <si>
    <t>ARL</t>
  </si>
  <si>
    <t>Total devengado suma</t>
  </si>
  <si>
    <t>SEPE S. A</t>
  </si>
  <si>
    <t>Guillermina Alzate</t>
  </si>
  <si>
    <t>Gustavo Zapata</t>
  </si>
  <si>
    <t>Mariana Bustamante</t>
  </si>
  <si>
    <t xml:space="preserve">Laura Betancur </t>
  </si>
  <si>
    <t xml:space="preserve">Esneider Gasca </t>
  </si>
  <si>
    <t>Alexander Acosta</t>
  </si>
  <si>
    <t xml:space="preserve">Valentina Sanchez </t>
  </si>
  <si>
    <t xml:space="preserve">TOTAL </t>
  </si>
  <si>
    <t>INCAPACIDADES</t>
  </si>
  <si>
    <t>Valor dia: 1500000/30=50000</t>
  </si>
  <si>
    <t>Dias pagados al 100%: 50000*2=100000</t>
  </si>
  <si>
    <t>Dia pagado al 66,67%: 33335</t>
  </si>
  <si>
    <t>ENFERMEDAD GENERAL</t>
  </si>
  <si>
    <t>Total: 133335</t>
  </si>
  <si>
    <t>ACCIDENTE LABORAL</t>
  </si>
  <si>
    <t>Valor del dia: 2000000/30=66666</t>
  </si>
  <si>
    <t>Dias pagados al 100%:333330</t>
  </si>
  <si>
    <t>Valor del dia: 1000000/30= 33333</t>
  </si>
  <si>
    <t>Dias pagados al 100%: 333333</t>
  </si>
  <si>
    <t>INCAPACIDAD</t>
  </si>
  <si>
    <t>Mayo de 2014</t>
  </si>
  <si>
    <t>C.C.</t>
  </si>
  <si>
    <t>TESTIGO,</t>
  </si>
  <si>
    <t>RECIBI,</t>
  </si>
  <si>
    <t>mismas a entera satisfacción</t>
  </si>
  <si>
    <t>conmigo por concepto de salarios y prestaciones sociales a que tengo derecho; ya que recibo las mismas</t>
  </si>
  <si>
    <t>Declaro que la empresa CONALMAQ LTDA., con NIT.811044674-5 queda a paz y salvo para</t>
  </si>
  <si>
    <t>SON: CIENTO SESENTA Y NUEVE MIL CIENTO SESENTA Y DOS PESOS M.L.XXXXX</t>
  </si>
  <si>
    <t>TOTAL A PAGAR:</t>
  </si>
  <si>
    <t>TOTAL PRESTACIONES SOCIALES:</t>
  </si>
  <si>
    <t>VACACIONES</t>
  </si>
  <si>
    <t xml:space="preserve"> </t>
  </si>
  <si>
    <t>PRIMA DE SERVICIOS</t>
  </si>
  <si>
    <t>INTERESES SOBRE CESANTIAS</t>
  </si>
  <si>
    <t>CESANTÍAS</t>
  </si>
  <si>
    <t>Días</t>
  </si>
  <si>
    <t>SUBSIDIO DE TRANSPORTE</t>
  </si>
  <si>
    <t>Mensual:</t>
  </si>
  <si>
    <t>SALARIO BASE LIQUIDACIÓN:</t>
  </si>
  <si>
    <t>Reestructuracion de la empresa</t>
  </si>
  <si>
    <t>MOTIVO DE LIQUIDACION:</t>
  </si>
  <si>
    <t>FECHA DE RETIRO:</t>
  </si>
  <si>
    <t xml:space="preserve">Por los días restantes (243 ): 41474 </t>
  </si>
  <si>
    <t>FECHA DE INGRESO:</t>
  </si>
  <si>
    <t>2 Año se le paga:  746541</t>
  </si>
  <si>
    <t>CARGO:</t>
  </si>
  <si>
    <t>1 Año se le paga:   1119812</t>
  </si>
  <si>
    <t>43.970.615</t>
  </si>
  <si>
    <t xml:space="preserve">                          </t>
  </si>
  <si>
    <t>INDEMNIZACION CONTRATO INDEFINIDO</t>
  </si>
  <si>
    <t>EMPLEADO:</t>
  </si>
  <si>
    <t>CONALMAQ LTDA</t>
  </si>
  <si>
    <t xml:space="preserve"> DÍAS FALNTANTES PARA LA TERMINACION DEL CONTRATO 74111*32 días=222332</t>
  </si>
  <si>
    <t>VALOR DEL DÍA: 223331/30=74111</t>
  </si>
  <si>
    <t>DEL 1 DE ENERO DE 2014 A 1 DE SEPTIEMBRE DEL MISMO AÑO</t>
  </si>
  <si>
    <t>CONTRATO ESTABLECIDO POR 8 MESES</t>
  </si>
  <si>
    <t>INDEMNIZACION CONTRATO FIJO</t>
  </si>
  <si>
    <t>LAURA BETANCUR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</si>
</sst>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%"/>
    <numFmt numFmtId="165" formatCode="&quot;$&quot;\ #,##0"/>
    <numFmt numFmtId="166" formatCode="[$-C0A]d\-mmm\-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</font>
    <font>
      <sz val="10"/>
      <name val="Comic Sans MS"/>
      <family val="4"/>
    </font>
    <font>
      <b/>
      <sz val="10"/>
      <name val="Comic Sans MS"/>
      <family val="4"/>
    </font>
    <font>
      <b/>
      <sz val="9"/>
      <name val="Comic Sans MS"/>
      <family val="4"/>
    </font>
    <font>
      <sz val="9"/>
      <name val="Comic Sans MS"/>
      <family val="4"/>
    </font>
    <font>
      <sz val="10"/>
      <color indexed="12"/>
      <name val="Comic Sans MS"/>
      <family val="4"/>
    </font>
    <font>
      <sz val="12"/>
      <name val="Comic Sans MS"/>
      <family val="4"/>
    </font>
    <font>
      <b/>
      <sz val="12"/>
      <name val="Comic Sans MS"/>
      <family val="4"/>
    </font>
    <font>
      <b/>
      <sz val="11"/>
      <name val="Comic Sans MS"/>
      <family val="4"/>
    </font>
    <font>
      <b/>
      <sz val="10"/>
      <color indexed="12"/>
      <name val="Comic Sans MS"/>
      <family val="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176">
    <xf numFmtId="0" fontId="0" fillId="0" borderId="0" xfId="0"/>
    <xf numFmtId="0" fontId="0" fillId="0" borderId="0" xfId="0" applyBorder="1"/>
    <xf numFmtId="0" fontId="0" fillId="4" borderId="1" xfId="0" applyFill="1" applyBorder="1"/>
    <xf numFmtId="0" fontId="0" fillId="0" borderId="0" xfId="0" applyBorder="1" applyAlignment="1">
      <alignment horizontal="center"/>
    </xf>
    <xf numFmtId="0" fontId="2" fillId="4" borderId="1" xfId="0" applyFont="1" applyFill="1" applyBorder="1"/>
    <xf numFmtId="0" fontId="1" fillId="0" borderId="0" xfId="0" applyFont="1" applyBorder="1" applyAlignment="1"/>
    <xf numFmtId="0" fontId="2" fillId="4" borderId="1" xfId="0" applyFont="1" applyFill="1" applyBorder="1" applyAlignment="1"/>
    <xf numFmtId="9" fontId="0" fillId="4" borderId="1" xfId="0" applyNumberFormat="1" applyFill="1" applyBorder="1"/>
    <xf numFmtId="0" fontId="1" fillId="2" borderId="7" xfId="0" applyFont="1" applyFill="1" applyBorder="1" applyAlignment="1">
      <alignment horizontal="right"/>
    </xf>
    <xf numFmtId="0" fontId="0" fillId="4" borderId="5" xfId="0" applyFill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2" fillId="4" borderId="2" xfId="0" applyFont="1" applyFill="1" applyBorder="1" applyAlignment="1"/>
    <xf numFmtId="0" fontId="2" fillId="4" borderId="2" xfId="0" applyFont="1" applyFill="1" applyBorder="1"/>
    <xf numFmtId="9" fontId="0" fillId="4" borderId="2" xfId="0" applyNumberFormat="1" applyFill="1" applyBorder="1"/>
    <xf numFmtId="0" fontId="1" fillId="2" borderId="7" xfId="0" applyFont="1" applyFill="1" applyBorder="1" applyAlignment="1">
      <alignment vertical="center"/>
    </xf>
    <xf numFmtId="165" fontId="0" fillId="0" borderId="0" xfId="0" applyNumberFormat="1"/>
    <xf numFmtId="3" fontId="0" fillId="0" borderId="0" xfId="0" applyNumberFormat="1"/>
    <xf numFmtId="3" fontId="0" fillId="4" borderId="2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3" fontId="0" fillId="4" borderId="10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3" fontId="0" fillId="5" borderId="28" xfId="0" applyNumberFormat="1" applyFill="1" applyBorder="1" applyAlignment="1">
      <alignment horizontal="center"/>
    </xf>
    <xf numFmtId="3" fontId="0" fillId="5" borderId="29" xfId="0" applyNumberFormat="1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3" fontId="0" fillId="4" borderId="32" xfId="0" applyNumberFormat="1" applyFill="1" applyBorder="1" applyAlignment="1">
      <alignment horizontal="center"/>
    </xf>
    <xf numFmtId="3" fontId="0" fillId="4" borderId="31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0" fillId="6" borderId="31" xfId="0" applyFill="1" applyBorder="1"/>
    <xf numFmtId="0" fontId="0" fillId="6" borderId="33" xfId="0" applyFill="1" applyBorder="1"/>
    <xf numFmtId="0" fontId="0" fillId="6" borderId="34" xfId="0" applyFill="1" applyBorder="1"/>
    <xf numFmtId="0" fontId="0" fillId="6" borderId="32" xfId="0" applyFill="1" applyBorder="1"/>
    <xf numFmtId="0" fontId="0" fillId="6" borderId="0" xfId="0" applyFill="1" applyBorder="1"/>
    <xf numFmtId="0" fontId="0" fillId="6" borderId="35" xfId="0" applyFill="1" applyBorder="1"/>
    <xf numFmtId="0" fontId="0" fillId="6" borderId="2" xfId="0" applyFill="1" applyBorder="1"/>
    <xf numFmtId="0" fontId="0" fillId="6" borderId="6" xfId="0" applyFill="1" applyBorder="1"/>
    <xf numFmtId="0" fontId="0" fillId="6" borderId="10" xfId="0" applyFill="1" applyBorder="1"/>
    <xf numFmtId="0" fontId="0" fillId="6" borderId="1" xfId="0" applyFill="1" applyBorder="1"/>
    <xf numFmtId="0" fontId="0" fillId="6" borderId="4" xfId="0" applyFill="1" applyBorder="1"/>
    <xf numFmtId="0" fontId="0" fillId="6" borderId="5" xfId="0" applyFill="1" applyBorder="1"/>
    <xf numFmtId="0" fontId="0" fillId="7" borderId="31" xfId="0" applyFill="1" applyBorder="1"/>
    <xf numFmtId="0" fontId="0" fillId="7" borderId="33" xfId="0" applyFill="1" applyBorder="1"/>
    <xf numFmtId="0" fontId="0" fillId="7" borderId="34" xfId="0" applyFill="1" applyBorder="1"/>
    <xf numFmtId="0" fontId="0" fillId="7" borderId="32" xfId="0" applyFill="1" applyBorder="1"/>
    <xf numFmtId="0" fontId="0" fillId="7" borderId="0" xfId="0" applyFill="1" applyBorder="1"/>
    <xf numFmtId="0" fontId="0" fillId="7" borderId="35" xfId="0" applyFill="1" applyBorder="1"/>
    <xf numFmtId="0" fontId="0" fillId="7" borderId="2" xfId="0" applyFill="1" applyBorder="1"/>
    <xf numFmtId="0" fontId="0" fillId="7" borderId="6" xfId="0" applyFill="1" applyBorder="1"/>
    <xf numFmtId="0" fontId="0" fillId="7" borderId="10" xfId="0" applyFill="1" applyBorder="1"/>
    <xf numFmtId="0" fontId="0" fillId="8" borderId="32" xfId="0" applyFill="1" applyBorder="1"/>
    <xf numFmtId="0" fontId="0" fillId="8" borderId="0" xfId="0" applyFill="1" applyBorder="1"/>
    <xf numFmtId="0" fontId="0" fillId="8" borderId="35" xfId="0" applyFill="1" applyBorder="1"/>
    <xf numFmtId="0" fontId="0" fillId="8" borderId="2" xfId="0" applyFill="1" applyBorder="1"/>
    <xf numFmtId="0" fontId="0" fillId="8" borderId="6" xfId="0" applyFill="1" applyBorder="1"/>
    <xf numFmtId="0" fontId="0" fillId="8" borderId="10" xfId="0" applyFill="1" applyBorder="1"/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right"/>
    </xf>
    <xf numFmtId="0" fontId="0" fillId="5" borderId="0" xfId="0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10" fontId="3" fillId="4" borderId="2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3" fontId="0" fillId="4" borderId="20" xfId="0" applyNumberForma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10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3" fontId="0" fillId="4" borderId="10" xfId="0" applyNumberForma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164" fontId="3" fillId="4" borderId="1" xfId="0" applyNumberFormat="1" applyFont="1" applyFill="1" applyBorder="1" applyAlignment="1">
      <alignment horizontal="right"/>
    </xf>
    <xf numFmtId="3" fontId="0" fillId="4" borderId="3" xfId="0" applyNumberFormat="1" applyFill="1" applyBorder="1" applyAlignment="1">
      <alignment horizontal="center"/>
    </xf>
    <xf numFmtId="3" fontId="0" fillId="4" borderId="5" xfId="0" applyNumberForma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9" fontId="3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9" fontId="0" fillId="4" borderId="1" xfId="0" applyNumberFormat="1" applyFill="1" applyBorder="1" applyAlignment="1">
      <alignment horizontal="center"/>
    </xf>
    <xf numFmtId="3" fontId="0" fillId="4" borderId="4" xfId="0" applyNumberForma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0" fontId="5" fillId="0" borderId="0" xfId="1" applyFont="1"/>
    <xf numFmtId="0" fontId="5" fillId="0" borderId="0" xfId="1" applyFont="1" applyBorder="1"/>
    <xf numFmtId="0" fontId="5" fillId="0" borderId="0" xfId="1" applyFont="1" applyFill="1" applyBorder="1"/>
    <xf numFmtId="3" fontId="5" fillId="0" borderId="0" xfId="1" applyNumberFormat="1" applyFont="1"/>
    <xf numFmtId="0" fontId="6" fillId="0" borderId="0" xfId="1" applyFont="1"/>
    <xf numFmtId="0" fontId="6" fillId="0" borderId="0" xfId="1" applyFont="1" applyBorder="1"/>
    <xf numFmtId="0" fontId="6" fillId="0" borderId="0" xfId="1" applyFont="1" applyFill="1" applyBorder="1"/>
    <xf numFmtId="3" fontId="6" fillId="0" borderId="0" xfId="1" applyNumberFormat="1" applyFont="1" applyBorder="1"/>
    <xf numFmtId="3" fontId="6" fillId="0" borderId="0" xfId="1" applyNumberFormat="1" applyFont="1"/>
    <xf numFmtId="0" fontId="6" fillId="0" borderId="6" xfId="1" applyFont="1" applyBorder="1"/>
    <xf numFmtId="3" fontId="6" fillId="0" borderId="6" xfId="1" applyNumberFormat="1" applyFont="1" applyBorder="1"/>
    <xf numFmtId="3" fontId="6" fillId="0" borderId="7" xfId="1" applyNumberFormat="1" applyFont="1" applyBorder="1"/>
    <xf numFmtId="4" fontId="7" fillId="0" borderId="0" xfId="1" applyNumberFormat="1" applyFont="1" applyAlignment="1">
      <alignment horizontal="center"/>
    </xf>
    <xf numFmtId="3" fontId="5" fillId="0" borderId="0" xfId="1" applyNumberFormat="1" applyFont="1" applyBorder="1"/>
    <xf numFmtId="3" fontId="8" fillId="0" borderId="0" xfId="1" applyNumberFormat="1" applyFont="1"/>
    <xf numFmtId="0" fontId="6" fillId="0" borderId="0" xfId="1" applyFont="1" applyAlignment="1">
      <alignment horizontal="center"/>
    </xf>
    <xf numFmtId="3" fontId="5" fillId="6" borderId="0" xfId="1" applyNumberFormat="1" applyFont="1" applyFill="1"/>
    <xf numFmtId="3" fontId="8" fillId="6" borderId="0" xfId="1" applyNumberFormat="1" applyFont="1" applyFill="1"/>
    <xf numFmtId="0" fontId="7" fillId="6" borderId="0" xfId="1" applyFont="1" applyFill="1" applyAlignment="1">
      <alignment horizontal="center"/>
    </xf>
    <xf numFmtId="0" fontId="6" fillId="6" borderId="0" xfId="1" applyFont="1" applyFill="1"/>
    <xf numFmtId="0" fontId="7" fillId="0" borderId="0" xfId="1" applyFont="1" applyAlignment="1">
      <alignment horizontal="center"/>
    </xf>
    <xf numFmtId="3" fontId="5" fillId="0" borderId="33" xfId="1" applyNumberFormat="1" applyFont="1" applyBorder="1"/>
    <xf numFmtId="0" fontId="6" fillId="0" borderId="0" xfId="1" applyFont="1" applyAlignment="1">
      <alignment horizontal="right"/>
    </xf>
    <xf numFmtId="0" fontId="5" fillId="0" borderId="0" xfId="1" applyFont="1" applyFill="1" applyBorder="1" applyAlignment="1">
      <alignment horizontal="right"/>
    </xf>
    <xf numFmtId="166" fontId="9" fillId="0" borderId="0" xfId="1" applyNumberFormat="1" applyFont="1"/>
    <xf numFmtId="0" fontId="5" fillId="0" borderId="10" xfId="1" applyFont="1" applyBorder="1"/>
    <xf numFmtId="0" fontId="5" fillId="0" borderId="6" xfId="1" applyFont="1" applyBorder="1"/>
    <xf numFmtId="0" fontId="5" fillId="0" borderId="6" xfId="1" applyFont="1" applyFill="1" applyBorder="1" applyAlignment="1">
      <alignment horizontal="left"/>
    </xf>
    <xf numFmtId="0" fontId="5" fillId="0" borderId="9" xfId="1" applyFont="1" applyFill="1" applyBorder="1"/>
    <xf numFmtId="166" fontId="5" fillId="0" borderId="0" xfId="1" applyNumberFormat="1" applyFont="1"/>
    <xf numFmtId="0" fontId="5" fillId="0" borderId="35" xfId="1" applyFont="1" applyBorder="1"/>
    <xf numFmtId="0" fontId="5" fillId="0" borderId="36" xfId="1" applyFont="1" applyFill="1" applyBorder="1"/>
    <xf numFmtId="3" fontId="5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left"/>
    </xf>
    <xf numFmtId="0" fontId="5" fillId="0" borderId="5" xfId="1" applyFont="1" applyBorder="1"/>
    <xf numFmtId="0" fontId="5" fillId="0" borderId="4" xfId="1" applyFont="1" applyBorder="1"/>
    <xf numFmtId="0" fontId="5" fillId="0" borderId="4" xfId="1" applyFont="1" applyFill="1" applyBorder="1"/>
    <xf numFmtId="0" fontId="5" fillId="0" borderId="3" xfId="1" applyFont="1" applyFill="1" applyBorder="1"/>
    <xf numFmtId="3" fontId="10" fillId="0" borderId="0" xfId="1" applyNumberFormat="1" applyFont="1"/>
    <xf numFmtId="0" fontId="10" fillId="0" borderId="0" xfId="1" applyFont="1"/>
    <xf numFmtId="3" fontId="11" fillId="0" borderId="0" xfId="1" applyNumberFormat="1" applyFont="1"/>
    <xf numFmtId="3" fontId="12" fillId="0" borderId="0" xfId="1" applyNumberFormat="1" applyFont="1"/>
    <xf numFmtId="3" fontId="6" fillId="0" borderId="0" xfId="1" applyNumberFormat="1" applyFont="1" applyAlignment="1">
      <alignment horizontal="center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5" fillId="0" borderId="6" xfId="1" applyFont="1" applyFill="1" applyBorder="1"/>
    <xf numFmtId="0" fontId="5" fillId="0" borderId="0" xfId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zoomScale="90" zoomScaleNormal="90" workbookViewId="0">
      <selection activeCell="S30" sqref="S30"/>
    </sheetView>
  </sheetViews>
  <sheetFormatPr baseColWidth="10" defaultRowHeight="15" x14ac:dyDescent="0.25"/>
  <cols>
    <col min="1" max="1" width="21" customWidth="1"/>
    <col min="2" max="2" width="12" bestFit="1" customWidth="1"/>
    <col min="3" max="3" width="9.85546875" customWidth="1"/>
    <col min="4" max="4" width="9.140625" customWidth="1"/>
    <col min="5" max="5" width="13.85546875" customWidth="1"/>
    <col min="6" max="6" width="12.140625" customWidth="1"/>
    <col min="7" max="7" width="11.28515625" customWidth="1"/>
    <col min="8" max="8" width="4.85546875" customWidth="1"/>
    <col min="9" max="9" width="12.7109375" customWidth="1"/>
    <col min="10" max="10" width="5.28515625" customWidth="1"/>
    <col min="11" max="11" width="9.28515625" customWidth="1"/>
    <col min="12" max="12" width="4.85546875" customWidth="1"/>
    <col min="13" max="13" width="6.7109375" customWidth="1"/>
    <col min="14" max="14" width="4.85546875" customWidth="1"/>
    <col min="15" max="15" width="6.7109375" customWidth="1"/>
    <col min="16" max="16" width="4.85546875" customWidth="1"/>
    <col min="17" max="17" width="10.28515625" customWidth="1"/>
    <col min="18" max="18" width="4.85546875" customWidth="1"/>
    <col min="19" max="19" width="7.42578125" customWidth="1"/>
    <col min="20" max="20" width="4.85546875" customWidth="1"/>
    <col min="21" max="22" width="9.85546875" customWidth="1"/>
    <col min="23" max="23" width="15.42578125" customWidth="1"/>
    <col min="24" max="24" width="11.5703125" customWidth="1"/>
    <col min="25" max="25" width="8.28515625" bestFit="1" customWidth="1"/>
    <col min="26" max="26" width="9.5703125" customWidth="1"/>
    <col min="27" max="27" width="10.28515625" bestFit="1" customWidth="1"/>
    <col min="28" max="28" width="9.85546875" bestFit="1" customWidth="1"/>
    <col min="29" max="29" width="12.42578125" bestFit="1" customWidth="1"/>
    <col min="30" max="30" width="10" bestFit="1" customWidth="1"/>
    <col min="31" max="31" width="8.85546875" customWidth="1"/>
  </cols>
  <sheetData>
    <row r="1" spans="1:33" ht="15.75" thickBot="1" x14ac:dyDescent="0.3">
      <c r="A1" s="8" t="s">
        <v>0</v>
      </c>
      <c r="B1" s="78" t="s">
        <v>52</v>
      </c>
      <c r="C1" s="78"/>
      <c r="D1" s="78"/>
      <c r="E1" s="78"/>
      <c r="F1" s="78"/>
      <c r="G1" s="78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W1" s="79" t="s">
        <v>36</v>
      </c>
      <c r="X1" s="80"/>
      <c r="Y1" s="81"/>
      <c r="Z1" s="9">
        <v>8</v>
      </c>
      <c r="AB1" s="82" t="s">
        <v>28</v>
      </c>
      <c r="AC1" s="83"/>
      <c r="AD1" s="9">
        <v>616000</v>
      </c>
    </row>
    <row r="2" spans="1:33" ht="15.75" thickBot="1" x14ac:dyDescent="0.3">
      <c r="A2" s="8" t="s">
        <v>1</v>
      </c>
      <c r="B2" s="84">
        <v>854082305</v>
      </c>
      <c r="C2" s="84"/>
      <c r="D2" s="84"/>
      <c r="E2" s="84"/>
      <c r="F2" s="84"/>
      <c r="G2" s="8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W2" s="85" t="s">
        <v>37</v>
      </c>
      <c r="X2" s="86"/>
      <c r="Y2" s="87"/>
      <c r="Z2" s="9">
        <v>240</v>
      </c>
      <c r="AB2" s="82" t="s">
        <v>29</v>
      </c>
      <c r="AC2" s="83"/>
      <c r="AD2" s="9">
        <v>72000</v>
      </c>
    </row>
    <row r="3" spans="1:33" ht="15.75" thickBot="1" x14ac:dyDescent="0.3">
      <c r="A3" s="8" t="s">
        <v>2</v>
      </c>
      <c r="B3" s="88" t="s">
        <v>73</v>
      </c>
      <c r="C3" s="88"/>
      <c r="D3" s="88"/>
      <c r="E3" s="88"/>
      <c r="F3" s="88"/>
      <c r="G3" s="88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33" ht="15.75" thickBot="1" x14ac:dyDescent="0.3">
      <c r="A5" s="3"/>
      <c r="B5" s="3"/>
      <c r="C5" s="3"/>
      <c r="D5" s="3"/>
      <c r="E5" s="3"/>
      <c r="F5" s="3"/>
      <c r="G5" s="3"/>
    </row>
    <row r="6" spans="1:33" ht="18" customHeight="1" thickBot="1" x14ac:dyDescent="0.3">
      <c r="A6" s="92" t="s">
        <v>3</v>
      </c>
      <c r="B6" s="89" t="s">
        <v>4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1"/>
      <c r="X6" s="1"/>
      <c r="Y6" s="89" t="s">
        <v>12</v>
      </c>
      <c r="Z6" s="90"/>
      <c r="AA6" s="90"/>
      <c r="AB6" s="90"/>
      <c r="AC6" s="90"/>
      <c r="AD6" s="90"/>
      <c r="AE6" s="91"/>
    </row>
    <row r="7" spans="1:33" ht="26.25" customHeight="1" thickBot="1" x14ac:dyDescent="0.3">
      <c r="A7" s="93"/>
      <c r="B7" s="12" t="s">
        <v>5</v>
      </c>
      <c r="C7" s="25" t="s">
        <v>6</v>
      </c>
      <c r="D7" s="13" t="s">
        <v>26</v>
      </c>
      <c r="E7" s="10" t="s">
        <v>27</v>
      </c>
      <c r="F7" s="10" t="s">
        <v>7</v>
      </c>
      <c r="G7" s="10" t="s">
        <v>8</v>
      </c>
      <c r="H7" s="14" t="s">
        <v>38</v>
      </c>
      <c r="I7" s="11" t="s">
        <v>31</v>
      </c>
      <c r="J7" s="10" t="s">
        <v>38</v>
      </c>
      <c r="K7" s="10" t="s">
        <v>32</v>
      </c>
      <c r="L7" s="10" t="s">
        <v>38</v>
      </c>
      <c r="M7" s="10" t="s">
        <v>33</v>
      </c>
      <c r="N7" s="10" t="s">
        <v>38</v>
      </c>
      <c r="O7" s="10" t="s">
        <v>39</v>
      </c>
      <c r="P7" s="10" t="s">
        <v>38</v>
      </c>
      <c r="Q7" s="10" t="s">
        <v>34</v>
      </c>
      <c r="R7" s="10" t="s">
        <v>38</v>
      </c>
      <c r="S7" s="10" t="s">
        <v>35</v>
      </c>
      <c r="T7" s="10" t="s">
        <v>38</v>
      </c>
      <c r="U7" s="10" t="s">
        <v>40</v>
      </c>
      <c r="V7" s="10" t="s">
        <v>9</v>
      </c>
      <c r="W7" s="15" t="s">
        <v>72</v>
      </c>
      <c r="X7" s="10" t="s">
        <v>11</v>
      </c>
      <c r="Y7" s="10" t="s">
        <v>13</v>
      </c>
      <c r="Z7" s="10" t="s">
        <v>14</v>
      </c>
      <c r="AA7" s="10" t="s">
        <v>15</v>
      </c>
      <c r="AB7" s="10" t="s">
        <v>47</v>
      </c>
      <c r="AC7" s="10" t="s">
        <v>48</v>
      </c>
      <c r="AD7" s="10" t="s">
        <v>49</v>
      </c>
      <c r="AE7" s="10" t="s">
        <v>10</v>
      </c>
      <c r="AF7" s="10" t="s">
        <v>16</v>
      </c>
      <c r="AG7" s="10" t="s">
        <v>17</v>
      </c>
    </row>
    <row r="8" spans="1:33" ht="18" customHeight="1" x14ac:dyDescent="0.25">
      <c r="A8" s="34" t="s">
        <v>53</v>
      </c>
      <c r="B8" s="40">
        <v>900000</v>
      </c>
      <c r="C8" s="37">
        <v>30</v>
      </c>
      <c r="D8" s="33">
        <f>+C8*$Z$1</f>
        <v>240</v>
      </c>
      <c r="E8" s="23">
        <f t="shared" ref="E8:E14" si="0">(B8/$Z$2)*D8</f>
        <v>900000</v>
      </c>
      <c r="F8" s="23">
        <f t="shared" ref="F8:F14" si="1">ROUND((IF(B8&lt;=($AD$1*2),$AD$2/$Z$2*D8,0)),0)</f>
        <v>72000</v>
      </c>
      <c r="G8" s="31">
        <v>100000</v>
      </c>
      <c r="H8" s="30">
        <v>6</v>
      </c>
      <c r="I8" s="23">
        <f t="shared" ref="I8:I14" si="2">ROUND(((B8/$Z$2)*H8*$X$19),0)</f>
        <v>28125</v>
      </c>
      <c r="J8" s="30">
        <v>3</v>
      </c>
      <c r="K8" s="23">
        <v>19687</v>
      </c>
      <c r="L8" s="30"/>
      <c r="M8" s="28">
        <f t="shared" ref="M8:M14" si="3">ROUND(((B8/$Z$2)*L8*$X$21),0)</f>
        <v>0</v>
      </c>
      <c r="N8" s="28"/>
      <c r="O8" s="28">
        <f t="shared" ref="O8:O14" si="4">ROUND(((B8/$Z$2)*N8*$X$22),0)</f>
        <v>0</v>
      </c>
      <c r="P8" s="30"/>
      <c r="Q8" s="28">
        <f t="shared" ref="Q8:Q14" si="5">ROUND(((B8/$Z$2)*P8*$X$23),0)</f>
        <v>0</v>
      </c>
      <c r="R8" s="30"/>
      <c r="S8" s="28">
        <f t="shared" ref="S8:S14" si="6">ROUND(((B8/$Z$2)*R8*$X$24),0)</f>
        <v>0</v>
      </c>
      <c r="T8" s="30"/>
      <c r="U8" s="28">
        <f t="shared" ref="U8:U14" si="7">ROUND(((B8/$Z$2)*T8*$X$25),0)</f>
        <v>0</v>
      </c>
      <c r="V8" s="23">
        <f t="shared" ref="V8:V14" si="8">+I8+K8+M8+O8+Q8+S8+U8</f>
        <v>47812</v>
      </c>
      <c r="W8" s="47"/>
      <c r="X8" s="23">
        <f>+E8+F8+G8+V8+W8</f>
        <v>1119812</v>
      </c>
      <c r="Y8" s="23">
        <f>(X8-F8)*4%</f>
        <v>41912.480000000003</v>
      </c>
      <c r="Z8" s="23">
        <f>(X8-F8)*4%</f>
        <v>41912.480000000003</v>
      </c>
      <c r="AA8" s="23">
        <f>IF(X8&gt;=($AD$1*4),(X8*1%),0)</f>
        <v>0</v>
      </c>
      <c r="AB8" s="31"/>
      <c r="AC8" s="31"/>
      <c r="AD8" s="31"/>
      <c r="AE8" s="31"/>
      <c r="AF8" s="23">
        <f>Y8+Z8+AA8+AB8+AC8+AD8+AE8</f>
        <v>83824.960000000006</v>
      </c>
      <c r="AG8" s="23">
        <f t="shared" ref="AG8:AG15" si="9">(X8-AF8)</f>
        <v>1035987.04</v>
      </c>
    </row>
    <row r="9" spans="1:33" ht="18" customHeight="1" x14ac:dyDescent="0.25">
      <c r="A9" s="35" t="s">
        <v>54</v>
      </c>
      <c r="B9" s="41">
        <v>1500000</v>
      </c>
      <c r="C9" s="38">
        <v>27</v>
      </c>
      <c r="D9" s="33">
        <f t="shared" ref="D9:D14" si="10">+C9*$Z$1</f>
        <v>216</v>
      </c>
      <c r="E9" s="23">
        <f t="shared" si="0"/>
        <v>1350000</v>
      </c>
      <c r="F9" s="23">
        <f t="shared" si="1"/>
        <v>0</v>
      </c>
      <c r="G9" s="31">
        <v>150000</v>
      </c>
      <c r="H9" s="32">
        <v>2</v>
      </c>
      <c r="I9" s="23">
        <f t="shared" si="2"/>
        <v>15625</v>
      </c>
      <c r="J9" s="32"/>
      <c r="K9" s="23">
        <f t="shared" ref="K9:K14" si="11">ROUND(((B9/$Z$2)*J9*$X$20),0)</f>
        <v>0</v>
      </c>
      <c r="L9" s="32">
        <v>3</v>
      </c>
      <c r="M9" s="28">
        <f t="shared" si="3"/>
        <v>6563</v>
      </c>
      <c r="N9" s="24">
        <v>1</v>
      </c>
      <c r="O9" s="28">
        <f t="shared" si="4"/>
        <v>10938</v>
      </c>
      <c r="P9" s="32"/>
      <c r="Q9" s="28">
        <f t="shared" si="5"/>
        <v>0</v>
      </c>
      <c r="R9" s="30"/>
      <c r="S9" s="28">
        <f t="shared" si="6"/>
        <v>0</v>
      </c>
      <c r="T9" s="30"/>
      <c r="U9" s="28">
        <f t="shared" si="7"/>
        <v>0</v>
      </c>
      <c r="V9" s="23">
        <f t="shared" si="8"/>
        <v>33126</v>
      </c>
      <c r="W9" s="47">
        <v>133335</v>
      </c>
      <c r="X9" s="23">
        <f t="shared" ref="X9:X14" si="12">+E9+F9+G9+V9+W9</f>
        <v>1666461</v>
      </c>
      <c r="Y9" s="23">
        <f t="shared" ref="Y9:Y16" si="13">(X9-F9)*4%</f>
        <v>66658.44</v>
      </c>
      <c r="Z9" s="23">
        <f t="shared" ref="Z9:Z16" si="14">(X9-F9)*4%</f>
        <v>66658.44</v>
      </c>
      <c r="AA9" s="23">
        <f>IF(X9&gt;=($AD$1*4),(X9*1%),0)</f>
        <v>0</v>
      </c>
      <c r="AB9" s="31"/>
      <c r="AC9" s="31"/>
      <c r="AD9" s="31"/>
      <c r="AE9" s="31"/>
      <c r="AF9" s="23">
        <f t="shared" ref="AF9:AF14" si="15">Y9+Z9+AA9+AB9+AC9+AD9+AE9</f>
        <v>133316.88</v>
      </c>
      <c r="AG9" s="23">
        <f t="shared" si="9"/>
        <v>1533144.12</v>
      </c>
    </row>
    <row r="10" spans="1:33" ht="18" customHeight="1" x14ac:dyDescent="0.25">
      <c r="A10" s="35" t="s">
        <v>55</v>
      </c>
      <c r="B10" s="41">
        <v>6275000</v>
      </c>
      <c r="C10" s="38">
        <v>30</v>
      </c>
      <c r="D10" s="33">
        <f t="shared" si="10"/>
        <v>240</v>
      </c>
      <c r="E10" s="23">
        <f t="shared" si="0"/>
        <v>6275000</v>
      </c>
      <c r="F10" s="23">
        <f t="shared" si="1"/>
        <v>0</v>
      </c>
      <c r="G10" s="31"/>
      <c r="H10" s="32"/>
      <c r="I10" s="23">
        <f t="shared" si="2"/>
        <v>0</v>
      </c>
      <c r="J10" s="32"/>
      <c r="K10" s="23">
        <f t="shared" si="11"/>
        <v>0</v>
      </c>
      <c r="L10" s="32"/>
      <c r="M10" s="28">
        <f t="shared" si="3"/>
        <v>0</v>
      </c>
      <c r="N10" s="24"/>
      <c r="O10" s="28">
        <f t="shared" si="4"/>
        <v>0</v>
      </c>
      <c r="P10" s="32"/>
      <c r="Q10" s="28">
        <f t="shared" si="5"/>
        <v>0</v>
      </c>
      <c r="R10" s="30"/>
      <c r="S10" s="28">
        <f t="shared" si="6"/>
        <v>0</v>
      </c>
      <c r="T10" s="30"/>
      <c r="U10" s="28">
        <f t="shared" si="7"/>
        <v>0</v>
      </c>
      <c r="V10" s="23">
        <f t="shared" si="8"/>
        <v>0</v>
      </c>
      <c r="W10" s="47"/>
      <c r="X10" s="23">
        <f t="shared" si="12"/>
        <v>6275000</v>
      </c>
      <c r="Y10" s="23">
        <f t="shared" si="13"/>
        <v>251000</v>
      </c>
      <c r="Z10" s="23">
        <f t="shared" si="14"/>
        <v>251000</v>
      </c>
      <c r="AA10" s="23">
        <f t="shared" ref="AA10:AA15" si="16">IF(B10&gt;=($AD$1*4),(B10*1%),0)</f>
        <v>62750</v>
      </c>
      <c r="AB10" s="31"/>
      <c r="AC10" s="31"/>
      <c r="AD10" s="31"/>
      <c r="AE10" s="31"/>
      <c r="AF10" s="23">
        <f t="shared" si="15"/>
        <v>564750</v>
      </c>
      <c r="AG10" s="23">
        <f t="shared" si="9"/>
        <v>5710250</v>
      </c>
    </row>
    <row r="11" spans="1:33" ht="18" customHeight="1" x14ac:dyDescent="0.25">
      <c r="A11" s="35" t="s">
        <v>56</v>
      </c>
      <c r="B11" s="41">
        <v>2000000</v>
      </c>
      <c r="C11" s="38">
        <v>25</v>
      </c>
      <c r="D11" s="33">
        <f t="shared" si="10"/>
        <v>200</v>
      </c>
      <c r="E11" s="23">
        <f t="shared" si="0"/>
        <v>1666666.6666666667</v>
      </c>
      <c r="F11" s="23">
        <f t="shared" si="1"/>
        <v>0</v>
      </c>
      <c r="G11" s="31">
        <v>80000</v>
      </c>
      <c r="H11" s="32"/>
      <c r="I11" s="23">
        <f t="shared" si="2"/>
        <v>0</v>
      </c>
      <c r="J11" s="32"/>
      <c r="K11" s="23">
        <f t="shared" si="11"/>
        <v>0</v>
      </c>
      <c r="L11" s="32"/>
      <c r="M11" s="28">
        <f t="shared" si="3"/>
        <v>0</v>
      </c>
      <c r="N11" s="24"/>
      <c r="O11" s="28">
        <f t="shared" si="4"/>
        <v>0</v>
      </c>
      <c r="P11" s="32">
        <v>4</v>
      </c>
      <c r="Q11" s="28">
        <f t="shared" si="5"/>
        <v>66667</v>
      </c>
      <c r="R11" s="30">
        <v>2</v>
      </c>
      <c r="S11" s="28">
        <f t="shared" si="6"/>
        <v>41667</v>
      </c>
      <c r="T11" s="30">
        <v>2</v>
      </c>
      <c r="U11" s="28">
        <f t="shared" si="7"/>
        <v>35000</v>
      </c>
      <c r="V11" s="23">
        <f t="shared" si="8"/>
        <v>143334</v>
      </c>
      <c r="W11" s="47">
        <v>333330</v>
      </c>
      <c r="X11" s="23">
        <f t="shared" si="12"/>
        <v>2223330.666666667</v>
      </c>
      <c r="Y11" s="23">
        <f t="shared" si="13"/>
        <v>88933.226666666684</v>
      </c>
      <c r="Z11" s="23">
        <f t="shared" si="14"/>
        <v>88933.226666666684</v>
      </c>
      <c r="AA11" s="23">
        <f t="shared" si="16"/>
        <v>0</v>
      </c>
      <c r="AB11" s="31"/>
      <c r="AC11" s="31"/>
      <c r="AD11" s="31"/>
      <c r="AE11" s="31"/>
      <c r="AF11" s="23">
        <f t="shared" si="15"/>
        <v>177866.45333333337</v>
      </c>
      <c r="AG11" s="23">
        <f t="shared" si="9"/>
        <v>2045464.2133333336</v>
      </c>
    </row>
    <row r="12" spans="1:33" ht="18" customHeight="1" x14ac:dyDescent="0.25">
      <c r="A12" s="35" t="s">
        <v>57</v>
      </c>
      <c r="B12" s="41">
        <v>850000</v>
      </c>
      <c r="C12" s="38">
        <v>30</v>
      </c>
      <c r="D12" s="33">
        <f t="shared" si="10"/>
        <v>240</v>
      </c>
      <c r="E12" s="23">
        <f t="shared" si="0"/>
        <v>850000</v>
      </c>
      <c r="F12" s="23">
        <f t="shared" si="1"/>
        <v>72000</v>
      </c>
      <c r="G12" s="31">
        <v>200000</v>
      </c>
      <c r="H12" s="32">
        <v>8</v>
      </c>
      <c r="I12" s="23">
        <f t="shared" si="2"/>
        <v>35417</v>
      </c>
      <c r="J12" s="32"/>
      <c r="K12" s="23">
        <f t="shared" si="11"/>
        <v>0</v>
      </c>
      <c r="L12" s="32">
        <v>2</v>
      </c>
      <c r="M12" s="28">
        <f t="shared" si="3"/>
        <v>2479</v>
      </c>
      <c r="N12" s="24"/>
      <c r="O12" s="28">
        <f t="shared" si="4"/>
        <v>0</v>
      </c>
      <c r="P12" s="32">
        <v>5</v>
      </c>
      <c r="Q12" s="28">
        <f t="shared" si="5"/>
        <v>35417</v>
      </c>
      <c r="R12" s="30"/>
      <c r="S12" s="28">
        <f t="shared" si="6"/>
        <v>0</v>
      </c>
      <c r="T12" s="30"/>
      <c r="U12" s="28">
        <f t="shared" si="7"/>
        <v>0</v>
      </c>
      <c r="V12" s="23">
        <f t="shared" si="8"/>
        <v>73313</v>
      </c>
      <c r="W12" s="47"/>
      <c r="X12" s="23">
        <f t="shared" si="12"/>
        <v>1195313</v>
      </c>
      <c r="Y12" s="23">
        <f t="shared" si="13"/>
        <v>44932.520000000004</v>
      </c>
      <c r="Z12" s="23">
        <f t="shared" si="14"/>
        <v>44932.520000000004</v>
      </c>
      <c r="AA12" s="23">
        <f t="shared" si="16"/>
        <v>0</v>
      </c>
      <c r="AB12" s="31"/>
      <c r="AC12" s="31"/>
      <c r="AD12" s="31"/>
      <c r="AE12" s="31"/>
      <c r="AF12" s="23">
        <f t="shared" si="15"/>
        <v>89865.040000000008</v>
      </c>
      <c r="AG12" s="23">
        <f t="shared" si="9"/>
        <v>1105447.96</v>
      </c>
    </row>
    <row r="13" spans="1:33" ht="18" customHeight="1" x14ac:dyDescent="0.25">
      <c r="A13" s="35" t="s">
        <v>58</v>
      </c>
      <c r="B13" s="41">
        <v>1000000</v>
      </c>
      <c r="C13" s="38">
        <v>20</v>
      </c>
      <c r="D13" s="33">
        <f t="shared" si="10"/>
        <v>160</v>
      </c>
      <c r="E13" s="23">
        <f t="shared" si="0"/>
        <v>666666.66666666674</v>
      </c>
      <c r="F13" s="23">
        <f t="shared" si="1"/>
        <v>48000</v>
      </c>
      <c r="G13" s="31"/>
      <c r="H13" s="32"/>
      <c r="I13" s="23">
        <f t="shared" si="2"/>
        <v>0</v>
      </c>
      <c r="J13" s="32">
        <v>4</v>
      </c>
      <c r="K13" s="23">
        <f t="shared" si="11"/>
        <v>29167</v>
      </c>
      <c r="L13" s="32">
        <v>6</v>
      </c>
      <c r="M13" s="28">
        <f t="shared" si="3"/>
        <v>8750</v>
      </c>
      <c r="N13" s="24"/>
      <c r="O13" s="28">
        <f t="shared" si="4"/>
        <v>0</v>
      </c>
      <c r="P13" s="32"/>
      <c r="Q13" s="28">
        <f t="shared" si="5"/>
        <v>0</v>
      </c>
      <c r="R13" s="30">
        <v>4</v>
      </c>
      <c r="S13" s="28">
        <f t="shared" si="6"/>
        <v>41667</v>
      </c>
      <c r="T13" s="30"/>
      <c r="U13" s="28">
        <f t="shared" si="7"/>
        <v>0</v>
      </c>
      <c r="V13" s="23">
        <f t="shared" si="8"/>
        <v>79584</v>
      </c>
      <c r="W13" s="47">
        <v>333333</v>
      </c>
      <c r="X13" s="23">
        <f t="shared" si="12"/>
        <v>1127583.6666666667</v>
      </c>
      <c r="Y13" s="23">
        <f t="shared" si="13"/>
        <v>43183.346666666672</v>
      </c>
      <c r="Z13" s="23">
        <f t="shared" si="14"/>
        <v>43183.346666666672</v>
      </c>
      <c r="AA13" s="23">
        <f t="shared" si="16"/>
        <v>0</v>
      </c>
      <c r="AB13" s="31"/>
      <c r="AC13" s="31"/>
      <c r="AD13" s="31"/>
      <c r="AE13" s="31"/>
      <c r="AF13" s="23">
        <f t="shared" si="15"/>
        <v>86366.693333333344</v>
      </c>
      <c r="AG13" s="23">
        <f t="shared" si="9"/>
        <v>1041216.9733333334</v>
      </c>
    </row>
    <row r="14" spans="1:33" ht="18" customHeight="1" x14ac:dyDescent="0.25">
      <c r="A14" s="35" t="s">
        <v>59</v>
      </c>
      <c r="B14" s="41">
        <v>4360000</v>
      </c>
      <c r="C14" s="38">
        <v>30</v>
      </c>
      <c r="D14" s="33">
        <f t="shared" si="10"/>
        <v>240</v>
      </c>
      <c r="E14" s="23">
        <f t="shared" si="0"/>
        <v>4360000</v>
      </c>
      <c r="F14" s="23">
        <f t="shared" si="1"/>
        <v>0</v>
      </c>
      <c r="G14" s="31">
        <v>1000000</v>
      </c>
      <c r="H14" s="32">
        <v>2</v>
      </c>
      <c r="I14" s="23">
        <f t="shared" si="2"/>
        <v>45417</v>
      </c>
      <c r="J14" s="32">
        <v>4</v>
      </c>
      <c r="K14" s="23">
        <f t="shared" si="11"/>
        <v>127167</v>
      </c>
      <c r="L14" s="32">
        <v>4</v>
      </c>
      <c r="M14" s="28">
        <f t="shared" si="3"/>
        <v>25433</v>
      </c>
      <c r="N14" s="24">
        <v>2</v>
      </c>
      <c r="O14" s="28">
        <f t="shared" si="4"/>
        <v>63583</v>
      </c>
      <c r="P14" s="32">
        <v>2</v>
      </c>
      <c r="Q14" s="28">
        <f t="shared" si="5"/>
        <v>72667</v>
      </c>
      <c r="R14" s="30">
        <v>4</v>
      </c>
      <c r="S14" s="28">
        <f t="shared" si="6"/>
        <v>181667</v>
      </c>
      <c r="T14" s="30">
        <v>2</v>
      </c>
      <c r="U14" s="28">
        <f t="shared" si="7"/>
        <v>76300</v>
      </c>
      <c r="V14" s="23">
        <f t="shared" si="8"/>
        <v>592234</v>
      </c>
      <c r="W14" s="47"/>
      <c r="X14" s="23">
        <f t="shared" si="12"/>
        <v>5952234</v>
      </c>
      <c r="Y14" s="23">
        <f t="shared" si="13"/>
        <v>238089.36000000002</v>
      </c>
      <c r="Z14" s="23">
        <f t="shared" si="14"/>
        <v>238089.36000000002</v>
      </c>
      <c r="AA14" s="23">
        <f t="shared" si="16"/>
        <v>43600</v>
      </c>
      <c r="AB14" s="31"/>
      <c r="AC14" s="31"/>
      <c r="AD14" s="31"/>
      <c r="AE14" s="31"/>
      <c r="AF14" s="23">
        <f t="shared" si="15"/>
        <v>519778.72000000003</v>
      </c>
      <c r="AG14" s="23">
        <f t="shared" si="9"/>
        <v>5432455.2800000003</v>
      </c>
    </row>
    <row r="15" spans="1:33" ht="18" customHeight="1" thickBot="1" x14ac:dyDescent="0.3">
      <c r="A15" s="36" t="s">
        <v>60</v>
      </c>
      <c r="B15" s="42"/>
      <c r="C15" s="39"/>
      <c r="D15" s="29">
        <f>SUM(D8:D14)</f>
        <v>1536</v>
      </c>
      <c r="E15" s="23">
        <f>SUM(E8:E14)</f>
        <v>16068333.333333332</v>
      </c>
      <c r="F15" s="23">
        <f t="shared" ref="F15:X15" si="17">SUM(F8:F14)</f>
        <v>192000</v>
      </c>
      <c r="G15" s="23">
        <f t="shared" si="17"/>
        <v>1530000</v>
      </c>
      <c r="H15" s="24">
        <f t="shared" si="17"/>
        <v>18</v>
      </c>
      <c r="I15" s="23">
        <f t="shared" si="17"/>
        <v>124584</v>
      </c>
      <c r="J15" s="24">
        <f t="shared" si="17"/>
        <v>11</v>
      </c>
      <c r="K15" s="23">
        <f t="shared" si="17"/>
        <v>176021</v>
      </c>
      <c r="L15" s="24">
        <f t="shared" si="17"/>
        <v>15</v>
      </c>
      <c r="M15" s="24">
        <f t="shared" si="17"/>
        <v>43225</v>
      </c>
      <c r="N15" s="24">
        <f t="shared" si="17"/>
        <v>3</v>
      </c>
      <c r="O15" s="24">
        <f t="shared" si="17"/>
        <v>74521</v>
      </c>
      <c r="P15" s="24">
        <f t="shared" si="17"/>
        <v>11</v>
      </c>
      <c r="Q15" s="24">
        <f t="shared" si="17"/>
        <v>174751</v>
      </c>
      <c r="R15" s="24">
        <f t="shared" si="17"/>
        <v>10</v>
      </c>
      <c r="S15" s="24">
        <f t="shared" si="17"/>
        <v>265001</v>
      </c>
      <c r="T15" s="43">
        <v>2</v>
      </c>
      <c r="U15" s="43">
        <f t="shared" si="17"/>
        <v>111300</v>
      </c>
      <c r="V15" s="44">
        <f t="shared" si="17"/>
        <v>969403</v>
      </c>
      <c r="W15" s="45">
        <f t="shared" si="17"/>
        <v>799998</v>
      </c>
      <c r="X15" s="44">
        <f t="shared" si="17"/>
        <v>19559734.333333336</v>
      </c>
      <c r="Y15" s="23">
        <f>(X15-F15)*4%</f>
        <v>774709.37333333341</v>
      </c>
      <c r="Z15" s="23">
        <f t="shared" si="14"/>
        <v>774709.37333333341</v>
      </c>
      <c r="AA15" s="23">
        <f t="shared" si="16"/>
        <v>0</v>
      </c>
      <c r="AB15" s="31"/>
      <c r="AC15" s="31"/>
      <c r="AD15" s="31"/>
      <c r="AE15" s="31"/>
      <c r="AF15" s="23">
        <f>SUM(AF8:AF14)</f>
        <v>1655768.7466666668</v>
      </c>
      <c r="AG15" s="23">
        <f t="shared" si="9"/>
        <v>17903965.58666667</v>
      </c>
    </row>
    <row r="16" spans="1:33" ht="15.75" thickBot="1" x14ac:dyDescent="0.3">
      <c r="T16" s="94" t="s">
        <v>51</v>
      </c>
      <c r="U16" s="95"/>
      <c r="V16" s="95"/>
      <c r="W16" s="96"/>
      <c r="X16" s="46">
        <f>+X15</f>
        <v>19559734.333333336</v>
      </c>
      <c r="Y16" s="29">
        <f t="shared" si="13"/>
        <v>782389.37333333341</v>
      </c>
      <c r="Z16" s="23">
        <f t="shared" si="14"/>
        <v>782389.37333333341</v>
      </c>
      <c r="AD16" s="75" t="s">
        <v>41</v>
      </c>
      <c r="AE16" s="76"/>
      <c r="AF16" s="77"/>
      <c r="AG16" s="23">
        <f>SUM(AG8:AG15)</f>
        <v>35807931.173333332</v>
      </c>
    </row>
    <row r="17" spans="1:30" ht="15.75" thickBot="1" x14ac:dyDescent="0.3"/>
    <row r="18" spans="1:30" ht="15.75" thickBot="1" x14ac:dyDescent="0.3">
      <c r="A18" s="106" t="s">
        <v>18</v>
      </c>
      <c r="B18" s="107"/>
      <c r="C18" s="20" t="s">
        <v>19</v>
      </c>
      <c r="F18" s="106" t="s">
        <v>20</v>
      </c>
      <c r="G18" s="108"/>
      <c r="H18" s="108"/>
      <c r="I18" s="107"/>
      <c r="J18" s="109" t="s">
        <v>19</v>
      </c>
      <c r="K18" s="110"/>
      <c r="N18" s="111" t="s">
        <v>21</v>
      </c>
      <c r="O18" s="112"/>
      <c r="P18" s="112"/>
      <c r="Q18" s="112"/>
      <c r="R18" s="112"/>
      <c r="S18" s="112"/>
      <c r="T18" s="112"/>
      <c r="U18" s="113"/>
      <c r="W18" s="114" t="s">
        <v>30</v>
      </c>
      <c r="X18" s="115"/>
      <c r="AD18" s="5"/>
    </row>
    <row r="19" spans="1:30" x14ac:dyDescent="0.25">
      <c r="A19" s="18" t="s">
        <v>42</v>
      </c>
      <c r="B19" s="19">
        <v>0.02</v>
      </c>
      <c r="C19" s="23">
        <v>125500</v>
      </c>
      <c r="F19" s="97" t="s">
        <v>45</v>
      </c>
      <c r="G19" s="97"/>
      <c r="H19" s="98">
        <v>8.3299999999999999E-2</v>
      </c>
      <c r="I19" s="99"/>
      <c r="J19" s="100">
        <f>($X$16-$F$15)*H19</f>
        <v>1613332.2699666668</v>
      </c>
      <c r="K19" s="101"/>
      <c r="N19" s="17" t="s">
        <v>22</v>
      </c>
      <c r="O19" s="17"/>
      <c r="P19" s="16"/>
      <c r="Q19" s="16"/>
      <c r="R19" s="102">
        <v>8.3333299999999999E-2</v>
      </c>
      <c r="S19" s="103"/>
      <c r="T19" s="104">
        <f>$X$16*R19</f>
        <v>1629977.209119967</v>
      </c>
      <c r="U19" s="105"/>
      <c r="W19" s="26" t="s">
        <v>31</v>
      </c>
      <c r="X19" s="16">
        <v>1.25</v>
      </c>
      <c r="AD19" s="1"/>
    </row>
    <row r="20" spans="1:30" x14ac:dyDescent="0.25">
      <c r="A20" s="4" t="s">
        <v>43</v>
      </c>
      <c r="B20" s="7">
        <v>0.03</v>
      </c>
      <c r="C20" s="23">
        <v>188250</v>
      </c>
      <c r="F20" s="116" t="s">
        <v>46</v>
      </c>
      <c r="G20" s="116"/>
      <c r="H20" s="122">
        <v>0.12</v>
      </c>
      <c r="I20" s="123"/>
      <c r="J20" s="118">
        <f t="shared" ref="J20" si="18">($X$16-$F$15)*H20</f>
        <v>2324128.12</v>
      </c>
      <c r="K20" s="119"/>
      <c r="N20" s="6" t="s">
        <v>23</v>
      </c>
      <c r="O20" s="6"/>
      <c r="P20" s="2"/>
      <c r="Q20" s="2"/>
      <c r="R20" s="124">
        <v>0.01</v>
      </c>
      <c r="S20" s="121"/>
      <c r="T20" s="118">
        <f>$X$16*R20</f>
        <v>195597.34333333335</v>
      </c>
      <c r="U20" s="119"/>
      <c r="W20" s="27" t="s">
        <v>32</v>
      </c>
      <c r="X20" s="2">
        <v>1.75</v>
      </c>
      <c r="AD20" s="1"/>
    </row>
    <row r="21" spans="1:30" x14ac:dyDescent="0.25">
      <c r="A21" s="4" t="s">
        <v>44</v>
      </c>
      <c r="B21" s="7">
        <v>0.04</v>
      </c>
      <c r="C21" s="23">
        <f>(X16-F15)*B21</f>
        <v>774709.37333333341</v>
      </c>
      <c r="F21" s="116" t="s">
        <v>50</v>
      </c>
      <c r="G21" s="116"/>
      <c r="H21" s="117">
        <v>5.2199999999999998E-3</v>
      </c>
      <c r="I21" s="117"/>
      <c r="J21" s="118">
        <f>($X$16-$F$15)*H21</f>
        <v>101099.57322000001</v>
      </c>
      <c r="K21" s="119"/>
      <c r="N21" s="6" t="s">
        <v>24</v>
      </c>
      <c r="O21" s="6"/>
      <c r="P21" s="2"/>
      <c r="Q21" s="2"/>
      <c r="R21" s="120">
        <v>8.3333299999999999E-2</v>
      </c>
      <c r="S21" s="121"/>
      <c r="T21" s="118">
        <f>$X$16*R21</f>
        <v>1629977.209119967</v>
      </c>
      <c r="U21" s="119"/>
      <c r="W21" s="27" t="s">
        <v>33</v>
      </c>
      <c r="X21" s="2">
        <v>0.35</v>
      </c>
      <c r="AD21" s="1"/>
    </row>
    <row r="22" spans="1:30" x14ac:dyDescent="0.25">
      <c r="A22" s="4" t="s">
        <v>19</v>
      </c>
      <c r="B22" s="118">
        <f>SUM(C19:C21)</f>
        <v>1088459.3733333335</v>
      </c>
      <c r="C22" s="119"/>
      <c r="F22" s="116" t="s">
        <v>19</v>
      </c>
      <c r="G22" s="116"/>
      <c r="H22" s="126">
        <f>SUM(J19:J21)</f>
        <v>4038559.9631866668</v>
      </c>
      <c r="I22" s="127"/>
      <c r="J22" s="127"/>
      <c r="K22" s="128"/>
      <c r="N22" s="116" t="s">
        <v>25</v>
      </c>
      <c r="O22" s="116"/>
      <c r="P22" s="116"/>
      <c r="Q22" s="116"/>
      <c r="R22" s="120">
        <v>4.1700000000000001E-2</v>
      </c>
      <c r="S22" s="121"/>
      <c r="T22" s="118">
        <f>($X$16-F15)*R22</f>
        <v>807634.52170000016</v>
      </c>
      <c r="U22" s="119"/>
      <c r="W22" s="27" t="s">
        <v>39</v>
      </c>
      <c r="X22" s="2">
        <v>1.75</v>
      </c>
      <c r="AD22" s="1"/>
    </row>
    <row r="23" spans="1:30" x14ac:dyDescent="0.25">
      <c r="N23" s="116" t="s">
        <v>19</v>
      </c>
      <c r="O23" s="116"/>
      <c r="P23" s="116"/>
      <c r="Q23" s="116"/>
      <c r="R23" s="118">
        <f>SUM(T19:T22)</f>
        <v>4263186.2832732676</v>
      </c>
      <c r="S23" s="125"/>
      <c r="T23" s="125"/>
      <c r="U23" s="119"/>
      <c r="W23" s="27" t="s">
        <v>34</v>
      </c>
      <c r="X23" s="2">
        <v>2</v>
      </c>
      <c r="AD23" s="1"/>
    </row>
    <row r="24" spans="1:30" x14ac:dyDescent="0.25">
      <c r="F24" s="21"/>
      <c r="W24" s="4" t="s">
        <v>35</v>
      </c>
      <c r="X24" s="2">
        <v>2.5</v>
      </c>
      <c r="AD24" s="1"/>
    </row>
    <row r="25" spans="1:30" x14ac:dyDescent="0.25">
      <c r="F25" s="21"/>
      <c r="W25" s="4" t="s">
        <v>40</v>
      </c>
      <c r="X25" s="2">
        <v>2.1</v>
      </c>
      <c r="AD25" s="1"/>
    </row>
    <row r="26" spans="1:30" x14ac:dyDescent="0.25">
      <c r="A26" s="57" t="s">
        <v>61</v>
      </c>
      <c r="B26" s="58" t="s">
        <v>65</v>
      </c>
      <c r="C26" s="58"/>
      <c r="D26" s="58"/>
      <c r="E26" s="59"/>
      <c r="F26" s="21"/>
    </row>
    <row r="27" spans="1:30" x14ac:dyDescent="0.25">
      <c r="A27" s="48" t="s">
        <v>54</v>
      </c>
      <c r="B27" s="49" t="s">
        <v>62</v>
      </c>
      <c r="C27" s="49"/>
      <c r="D27" s="49"/>
      <c r="E27" s="50"/>
      <c r="F27" s="21"/>
    </row>
    <row r="28" spans="1:30" x14ac:dyDescent="0.25">
      <c r="A28" s="51"/>
      <c r="B28" s="52" t="s">
        <v>63</v>
      </c>
      <c r="C28" s="52"/>
      <c r="D28" s="52"/>
      <c r="E28" s="53"/>
      <c r="F28" s="21"/>
      <c r="I28" s="22"/>
    </row>
    <row r="29" spans="1:30" x14ac:dyDescent="0.25">
      <c r="A29" s="51"/>
      <c r="B29" s="52" t="s">
        <v>64</v>
      </c>
      <c r="C29" s="52"/>
      <c r="D29" s="52"/>
      <c r="E29" s="53"/>
      <c r="F29" s="21"/>
    </row>
    <row r="30" spans="1:30" x14ac:dyDescent="0.25">
      <c r="A30" s="51"/>
      <c r="B30" s="52" t="s">
        <v>66</v>
      </c>
      <c r="C30" s="52"/>
      <c r="D30" s="52"/>
      <c r="E30" s="53"/>
      <c r="F30" s="21"/>
    </row>
    <row r="31" spans="1:30" x14ac:dyDescent="0.25">
      <c r="A31" s="54"/>
      <c r="B31" s="55"/>
      <c r="C31" s="55"/>
      <c r="D31" s="55"/>
      <c r="E31" s="56"/>
    </row>
    <row r="32" spans="1:30" x14ac:dyDescent="0.25">
      <c r="A32" s="60" t="s">
        <v>56</v>
      </c>
      <c r="B32" s="61" t="s">
        <v>67</v>
      </c>
      <c r="C32" s="61"/>
      <c r="D32" s="61"/>
      <c r="E32" s="62"/>
    </row>
    <row r="33" spans="1:5" x14ac:dyDescent="0.25">
      <c r="A33" s="63"/>
      <c r="B33" s="64" t="s">
        <v>68</v>
      </c>
      <c r="C33" s="64"/>
      <c r="D33" s="64"/>
      <c r="E33" s="65"/>
    </row>
    <row r="34" spans="1:5" x14ac:dyDescent="0.25">
      <c r="A34" s="63"/>
      <c r="B34" s="64" t="s">
        <v>69</v>
      </c>
      <c r="C34" s="64"/>
      <c r="D34" s="64"/>
      <c r="E34" s="65"/>
    </row>
    <row r="35" spans="1:5" x14ac:dyDescent="0.25">
      <c r="A35" s="66"/>
      <c r="B35" s="67"/>
      <c r="C35" s="67"/>
      <c r="D35" s="67"/>
      <c r="E35" s="68"/>
    </row>
    <row r="36" spans="1:5" x14ac:dyDescent="0.25">
      <c r="A36" s="69" t="s">
        <v>58</v>
      </c>
      <c r="B36" s="70" t="s">
        <v>67</v>
      </c>
      <c r="C36" s="70"/>
      <c r="D36" s="70"/>
      <c r="E36" s="71"/>
    </row>
    <row r="37" spans="1:5" x14ac:dyDescent="0.25">
      <c r="A37" s="69"/>
      <c r="B37" s="70" t="s">
        <v>70</v>
      </c>
      <c r="C37" s="70"/>
      <c r="D37" s="70"/>
      <c r="E37" s="71"/>
    </row>
    <row r="38" spans="1:5" x14ac:dyDescent="0.25">
      <c r="A38" s="72"/>
      <c r="B38" s="73" t="s">
        <v>71</v>
      </c>
      <c r="C38" s="73"/>
      <c r="D38" s="73"/>
      <c r="E38" s="74"/>
    </row>
  </sheetData>
  <mergeCells count="40">
    <mergeCell ref="N23:Q23"/>
    <mergeCell ref="R23:U23"/>
    <mergeCell ref="B22:C22"/>
    <mergeCell ref="F22:G22"/>
    <mergeCell ref="H22:K22"/>
    <mergeCell ref="N22:Q22"/>
    <mergeCell ref="R22:S22"/>
    <mergeCell ref="T22:U22"/>
    <mergeCell ref="F20:G20"/>
    <mergeCell ref="H20:I20"/>
    <mergeCell ref="J20:K20"/>
    <mergeCell ref="R20:S20"/>
    <mergeCell ref="T20:U20"/>
    <mergeCell ref="F21:G21"/>
    <mergeCell ref="H21:I21"/>
    <mergeCell ref="J21:K21"/>
    <mergeCell ref="R21:S21"/>
    <mergeCell ref="T21:U21"/>
    <mergeCell ref="A6:A7"/>
    <mergeCell ref="B6:W6"/>
    <mergeCell ref="T16:W16"/>
    <mergeCell ref="F19:G19"/>
    <mergeCell ref="H19:I19"/>
    <mergeCell ref="J19:K19"/>
    <mergeCell ref="R19:S19"/>
    <mergeCell ref="T19:U19"/>
    <mergeCell ref="A18:B18"/>
    <mergeCell ref="F18:I18"/>
    <mergeCell ref="J18:K18"/>
    <mergeCell ref="N18:U18"/>
    <mergeCell ref="W18:X18"/>
    <mergeCell ref="AD16:AF16"/>
    <mergeCell ref="B1:G1"/>
    <mergeCell ref="W1:Y1"/>
    <mergeCell ref="AB1:AC1"/>
    <mergeCell ref="B2:G2"/>
    <mergeCell ref="W2:Y2"/>
    <mergeCell ref="AB2:AC2"/>
    <mergeCell ref="B3:G3"/>
    <mergeCell ref="Y6:A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L12" sqref="L12"/>
    </sheetView>
  </sheetViews>
  <sheetFormatPr baseColWidth="10" defaultRowHeight="15" x14ac:dyDescent="0.3"/>
  <cols>
    <col min="1" max="1" width="46.42578125" style="129" customWidth="1"/>
    <col min="2" max="2" width="7.140625" style="129" customWidth="1"/>
    <col min="3" max="3" width="12.85546875" style="132" bestFit="1" customWidth="1"/>
    <col min="4" max="4" width="13.42578125" style="132" customWidth="1"/>
    <col min="5" max="5" width="14.7109375" style="129" customWidth="1"/>
    <col min="6" max="6" width="10.42578125" style="132" customWidth="1"/>
    <col min="7" max="8" width="11.42578125" style="131"/>
    <col min="9" max="9" width="11.42578125" style="130"/>
    <col min="10" max="16384" width="11.42578125" style="129"/>
  </cols>
  <sheetData>
    <row r="1" spans="1:10" ht="16.5" x14ac:dyDescent="0.35">
      <c r="A1" s="173" t="s">
        <v>104</v>
      </c>
      <c r="B1" s="173"/>
      <c r="C1" s="173"/>
      <c r="D1" s="173"/>
      <c r="E1" s="173"/>
      <c r="F1" s="172"/>
    </row>
    <row r="2" spans="1:10" ht="9.75" customHeight="1" x14ac:dyDescent="0.35">
      <c r="A2" s="144"/>
      <c r="B2" s="144"/>
      <c r="C2" s="171"/>
      <c r="D2" s="171"/>
      <c r="E2" s="144"/>
      <c r="F2" s="171"/>
    </row>
    <row r="3" spans="1:10" ht="19.5" x14ac:dyDescent="0.4">
      <c r="A3" s="133" t="s">
        <v>103</v>
      </c>
      <c r="B3" s="168" t="s">
        <v>53</v>
      </c>
      <c r="C3" s="170"/>
      <c r="D3" s="169"/>
      <c r="E3" s="168"/>
      <c r="F3" s="167"/>
      <c r="G3" s="166" t="s">
        <v>102</v>
      </c>
      <c r="H3" s="165"/>
      <c r="I3" s="164"/>
      <c r="J3" s="163"/>
    </row>
    <row r="4" spans="1:10" ht="16.5" x14ac:dyDescent="0.35">
      <c r="A4" s="133" t="s">
        <v>101</v>
      </c>
      <c r="C4" s="162" t="s">
        <v>100</v>
      </c>
      <c r="D4" s="161"/>
      <c r="G4" s="160" t="s">
        <v>99</v>
      </c>
      <c r="J4" s="159"/>
    </row>
    <row r="5" spans="1:10" ht="16.5" x14ac:dyDescent="0.35">
      <c r="A5" s="133" t="s">
        <v>98</v>
      </c>
      <c r="D5" s="137"/>
      <c r="G5" s="160" t="s">
        <v>97</v>
      </c>
      <c r="J5" s="159"/>
    </row>
    <row r="6" spans="1:10" ht="16.5" x14ac:dyDescent="0.35">
      <c r="A6" s="133" t="s">
        <v>96</v>
      </c>
      <c r="C6" s="158">
        <v>41307</v>
      </c>
      <c r="G6" s="157" t="s">
        <v>95</v>
      </c>
      <c r="H6" s="156"/>
      <c r="I6" s="155"/>
      <c r="J6" s="154"/>
    </row>
    <row r="7" spans="1:10" ht="16.5" x14ac:dyDescent="0.35">
      <c r="A7" s="133" t="s">
        <v>94</v>
      </c>
      <c r="C7" s="153">
        <v>41789</v>
      </c>
      <c r="H7" s="152"/>
    </row>
    <row r="8" spans="1:10" ht="16.5" x14ac:dyDescent="0.35">
      <c r="A8" s="133" t="s">
        <v>93</v>
      </c>
      <c r="C8" s="132" t="s">
        <v>92</v>
      </c>
    </row>
    <row r="9" spans="1:10" ht="16.5" x14ac:dyDescent="0.35">
      <c r="A9" s="133" t="s">
        <v>91</v>
      </c>
      <c r="C9" s="137" t="s">
        <v>90</v>
      </c>
      <c r="D9" s="132">
        <v>1119812</v>
      </c>
      <c r="E9" s="151"/>
    </row>
    <row r="10" spans="1:10" ht="16.5" x14ac:dyDescent="0.35">
      <c r="A10" s="133" t="s">
        <v>89</v>
      </c>
      <c r="C10" s="137"/>
      <c r="D10" s="132">
        <v>0</v>
      </c>
      <c r="E10" s="151"/>
    </row>
    <row r="11" spans="1:10" ht="16.5" x14ac:dyDescent="0.35">
      <c r="A11" s="133"/>
      <c r="D11" s="150">
        <f>SUM(D9:D10)</f>
        <v>1119812</v>
      </c>
    </row>
    <row r="12" spans="1:10" ht="16.5" x14ac:dyDescent="0.35">
      <c r="A12" s="133" t="s">
        <v>84</v>
      </c>
      <c r="B12" s="149" t="s">
        <v>88</v>
      </c>
    </row>
    <row r="13" spans="1:10" ht="8.25" customHeight="1" x14ac:dyDescent="0.35">
      <c r="A13" s="133"/>
      <c r="B13" s="149"/>
    </row>
    <row r="14" spans="1:10" ht="16.5" x14ac:dyDescent="0.35">
      <c r="A14" s="133" t="s">
        <v>87</v>
      </c>
      <c r="B14" s="149">
        <f>+C7-C6</f>
        <v>482</v>
      </c>
      <c r="C14" s="143"/>
      <c r="D14" s="132">
        <f>+D11*B14/360</f>
        <v>1499303.8444444444</v>
      </c>
      <c r="E14" s="132"/>
    </row>
    <row r="15" spans="1:10" ht="3" customHeight="1" x14ac:dyDescent="0.35">
      <c r="A15" s="133"/>
      <c r="B15" s="149"/>
      <c r="C15" s="143"/>
      <c r="E15" s="132"/>
    </row>
    <row r="16" spans="1:10" ht="16.5" x14ac:dyDescent="0.35">
      <c r="A16" s="133" t="s">
        <v>86</v>
      </c>
      <c r="B16" s="149">
        <f>B14</f>
        <v>482</v>
      </c>
      <c r="C16" s="143"/>
      <c r="D16" s="132">
        <f>SUM(D14*0.12*B14/360)</f>
        <v>240888.15100740737</v>
      </c>
      <c r="E16" s="132"/>
    </row>
    <row r="17" spans="1:9" ht="3.75" customHeight="1" x14ac:dyDescent="0.35">
      <c r="A17" s="133"/>
      <c r="B17" s="149"/>
      <c r="C17" s="143"/>
      <c r="D17" s="142"/>
      <c r="E17" s="132"/>
    </row>
    <row r="18" spans="1:9" ht="16.5" x14ac:dyDescent="0.35">
      <c r="A18" s="148" t="s">
        <v>85</v>
      </c>
      <c r="B18" s="147">
        <f>+B14</f>
        <v>482</v>
      </c>
      <c r="C18" s="146"/>
      <c r="D18" s="145">
        <f>+D11*B18/360</f>
        <v>1499303.8444444444</v>
      </c>
      <c r="E18" s="132"/>
    </row>
    <row r="19" spans="1:9" ht="4.5" customHeight="1" x14ac:dyDescent="0.35">
      <c r="A19" s="133" t="s">
        <v>84</v>
      </c>
      <c r="B19" s="144"/>
      <c r="C19" s="143"/>
      <c r="D19" s="142"/>
      <c r="E19" s="132"/>
    </row>
    <row r="20" spans="1:9" ht="16.5" x14ac:dyDescent="0.35">
      <c r="A20" s="133" t="s">
        <v>83</v>
      </c>
      <c r="B20" s="141">
        <f>+B14*15/360</f>
        <v>20.083333333333332</v>
      </c>
      <c r="D20" s="132">
        <f>D9/30*B20</f>
        <v>749651.9222222222</v>
      </c>
      <c r="E20" s="132"/>
    </row>
    <row r="21" spans="1:9" ht="3.75" customHeight="1" thickBot="1" x14ac:dyDescent="0.35">
      <c r="E21" s="132"/>
    </row>
    <row r="22" spans="1:9" ht="17.25" thickBot="1" x14ac:dyDescent="0.4">
      <c r="A22" s="133" t="s">
        <v>82</v>
      </c>
      <c r="B22" s="133"/>
      <c r="C22" s="137"/>
      <c r="D22" s="140">
        <f>SUM(D14:D20)</f>
        <v>3989147.7621185184</v>
      </c>
      <c r="E22" s="132"/>
    </row>
    <row r="23" spans="1:9" ht="5.25" customHeight="1" thickBot="1" x14ac:dyDescent="0.4">
      <c r="A23" s="133"/>
      <c r="B23" s="133"/>
      <c r="C23" s="137"/>
      <c r="D23" s="136"/>
      <c r="E23" s="132"/>
    </row>
    <row r="24" spans="1:9" ht="17.25" thickBot="1" x14ac:dyDescent="0.4">
      <c r="A24" s="133" t="s">
        <v>81</v>
      </c>
      <c r="D24" s="140">
        <f>SUM(D22:D23)</f>
        <v>3989147.7621185184</v>
      </c>
    </row>
    <row r="26" spans="1:9" x14ac:dyDescent="0.3">
      <c r="A26" s="129" t="s">
        <v>80</v>
      </c>
    </row>
    <row r="28" spans="1:9" x14ac:dyDescent="0.3">
      <c r="A28" s="129" t="s">
        <v>79</v>
      </c>
    </row>
    <row r="29" spans="1:9" x14ac:dyDescent="0.3">
      <c r="A29" s="129" t="s">
        <v>78</v>
      </c>
    </row>
    <row r="30" spans="1:9" x14ac:dyDescent="0.3">
      <c r="A30" s="129" t="s">
        <v>77</v>
      </c>
    </row>
    <row r="32" spans="1:9" s="133" customFormat="1" ht="16.5" x14ac:dyDescent="0.35">
      <c r="A32" s="133" t="s">
        <v>76</v>
      </c>
      <c r="C32" s="137"/>
      <c r="D32" s="137" t="s">
        <v>75</v>
      </c>
      <c r="F32" s="137"/>
      <c r="G32" s="135"/>
      <c r="H32" s="135"/>
      <c r="I32" s="134"/>
    </row>
    <row r="33" spans="1:9" s="133" customFormat="1" ht="16.5" x14ac:dyDescent="0.35">
      <c r="A33" s="138"/>
      <c r="C33" s="137"/>
      <c r="D33" s="139"/>
      <c r="E33" s="138"/>
      <c r="F33" s="136"/>
      <c r="G33" s="135"/>
      <c r="H33" s="135"/>
      <c r="I33" s="134"/>
    </row>
    <row r="34" spans="1:9" s="133" customFormat="1" ht="16.5" x14ac:dyDescent="0.35">
      <c r="A34" s="133" t="s">
        <v>74</v>
      </c>
      <c r="C34" s="137"/>
      <c r="D34" s="137" t="s">
        <v>74</v>
      </c>
      <c r="F34" s="136"/>
      <c r="G34" s="135"/>
      <c r="H34" s="135"/>
      <c r="I34" s="134"/>
    </row>
  </sheetData>
  <mergeCells count="1">
    <mergeCell ref="A1:E1"/>
  </mergeCells>
  <pageMargins left="0.19685039370078741" right="0.19685039370078741" top="0.98425196850393704" bottom="0.98425196850393704" header="0" footer="0"/>
  <pageSetup orientation="portrait" horizontalDpi="120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K22" sqref="K22"/>
    </sheetView>
  </sheetViews>
  <sheetFormatPr baseColWidth="10" defaultRowHeight="15" x14ac:dyDescent="0.3"/>
  <cols>
    <col min="1" max="1" width="46.42578125" style="129" customWidth="1"/>
    <col min="2" max="2" width="7.140625" style="129" customWidth="1"/>
    <col min="3" max="3" width="12.85546875" style="132" bestFit="1" customWidth="1"/>
    <col min="4" max="4" width="13.42578125" style="132" customWidth="1"/>
    <col min="5" max="5" width="14.7109375" style="129" customWidth="1"/>
    <col min="6" max="6" width="10.42578125" style="132" customWidth="1"/>
    <col min="7" max="8" width="11.42578125" style="131"/>
    <col min="9" max="9" width="11.42578125" style="130"/>
    <col min="10" max="16384" width="11.42578125" style="129"/>
  </cols>
  <sheetData>
    <row r="1" spans="1:13" ht="16.5" x14ac:dyDescent="0.35">
      <c r="A1" s="173" t="s">
        <v>104</v>
      </c>
      <c r="B1" s="173"/>
      <c r="C1" s="173"/>
      <c r="D1" s="173"/>
      <c r="E1" s="173"/>
      <c r="F1" s="172"/>
    </row>
    <row r="2" spans="1:13" ht="9.75" customHeight="1" x14ac:dyDescent="0.35">
      <c r="A2" s="144"/>
      <c r="B2" s="144"/>
      <c r="C2" s="171"/>
      <c r="D2" s="171"/>
      <c r="E2" s="144"/>
      <c r="F2" s="171"/>
    </row>
    <row r="3" spans="1:13" ht="19.5" x14ac:dyDescent="0.4">
      <c r="A3" s="133" t="s">
        <v>103</v>
      </c>
      <c r="B3" s="168" t="s">
        <v>110</v>
      </c>
      <c r="C3" s="170"/>
      <c r="D3" s="169"/>
      <c r="E3" s="168"/>
      <c r="F3" s="167"/>
      <c r="G3" s="166" t="s">
        <v>109</v>
      </c>
      <c r="H3" s="165"/>
      <c r="I3" s="164"/>
      <c r="J3" s="164"/>
      <c r="K3" s="164"/>
      <c r="L3" s="164"/>
      <c r="M3" s="163"/>
    </row>
    <row r="4" spans="1:13" ht="16.5" x14ac:dyDescent="0.35">
      <c r="A4" s="133" t="s">
        <v>101</v>
      </c>
      <c r="C4" s="162">
        <v>43096182</v>
      </c>
      <c r="D4" s="161"/>
      <c r="G4" s="160" t="s">
        <v>108</v>
      </c>
      <c r="J4" s="130"/>
      <c r="K4" s="130"/>
      <c r="L4" s="130"/>
      <c r="M4" s="159"/>
    </row>
    <row r="5" spans="1:13" ht="16.5" x14ac:dyDescent="0.35">
      <c r="A5" s="133" t="s">
        <v>98</v>
      </c>
      <c r="D5" s="137"/>
      <c r="G5" s="160" t="s">
        <v>107</v>
      </c>
      <c r="J5" s="130"/>
      <c r="K5" s="130"/>
      <c r="L5" s="130"/>
      <c r="M5" s="159"/>
    </row>
    <row r="6" spans="1:13" ht="16.5" x14ac:dyDescent="0.35">
      <c r="A6" s="133" t="s">
        <v>96</v>
      </c>
      <c r="C6" s="158">
        <v>41640</v>
      </c>
      <c r="G6" s="160"/>
      <c r="H6" s="175"/>
      <c r="J6" s="130"/>
      <c r="K6" s="130"/>
      <c r="L6" s="130"/>
      <c r="M6" s="159"/>
    </row>
    <row r="7" spans="1:13" ht="16.5" x14ac:dyDescent="0.35">
      <c r="A7" s="133" t="s">
        <v>94</v>
      </c>
      <c r="C7" s="153">
        <v>41850</v>
      </c>
      <c r="G7" s="160" t="s">
        <v>106</v>
      </c>
      <c r="J7" s="130"/>
      <c r="K7" s="130"/>
      <c r="L7" s="130"/>
      <c r="M7" s="159"/>
    </row>
    <row r="8" spans="1:13" ht="16.5" x14ac:dyDescent="0.35">
      <c r="A8" s="133" t="s">
        <v>93</v>
      </c>
      <c r="C8" s="132" t="s">
        <v>92</v>
      </c>
      <c r="G8" s="157" t="s">
        <v>105</v>
      </c>
      <c r="H8" s="174"/>
      <c r="I8" s="155"/>
      <c r="J8" s="155"/>
      <c r="K8" s="155"/>
      <c r="L8" s="155"/>
      <c r="M8" s="154"/>
    </row>
    <row r="9" spans="1:13" ht="16.5" x14ac:dyDescent="0.35">
      <c r="A9" s="133" t="s">
        <v>91</v>
      </c>
      <c r="C9" s="137" t="s">
        <v>90</v>
      </c>
      <c r="D9" s="132">
        <v>2223331</v>
      </c>
      <c r="E9" s="151"/>
    </row>
    <row r="10" spans="1:13" ht="16.5" x14ac:dyDescent="0.35">
      <c r="A10" s="133" t="s">
        <v>89</v>
      </c>
      <c r="C10" s="137"/>
      <c r="D10" s="132">
        <v>0</v>
      </c>
      <c r="E10" s="151"/>
    </row>
    <row r="11" spans="1:13" ht="16.5" x14ac:dyDescent="0.35">
      <c r="A11" s="133"/>
      <c r="D11" s="150">
        <f>SUM(D9:D10)</f>
        <v>2223331</v>
      </c>
    </row>
    <row r="12" spans="1:13" ht="16.5" x14ac:dyDescent="0.35">
      <c r="A12" s="133" t="s">
        <v>84</v>
      </c>
      <c r="B12" s="149" t="s">
        <v>88</v>
      </c>
    </row>
    <row r="13" spans="1:13" ht="8.25" customHeight="1" x14ac:dyDescent="0.35">
      <c r="A13" s="133"/>
      <c r="B13" s="149"/>
    </row>
    <row r="14" spans="1:13" ht="16.5" x14ac:dyDescent="0.35">
      <c r="A14" s="133" t="s">
        <v>87</v>
      </c>
      <c r="B14" s="149">
        <f>+C7-C6</f>
        <v>210</v>
      </c>
      <c r="C14" s="143"/>
      <c r="D14" s="132">
        <f>+D11*B14/360</f>
        <v>1296943.0833333333</v>
      </c>
      <c r="E14" s="132"/>
    </row>
    <row r="15" spans="1:13" ht="3" customHeight="1" x14ac:dyDescent="0.35">
      <c r="A15" s="133"/>
      <c r="B15" s="149"/>
      <c r="C15" s="143"/>
      <c r="E15" s="132"/>
    </row>
    <row r="16" spans="1:13" ht="16.5" x14ac:dyDescent="0.35">
      <c r="A16" s="133" t="s">
        <v>86</v>
      </c>
      <c r="B16" s="149">
        <f>B14</f>
        <v>210</v>
      </c>
      <c r="C16" s="143"/>
      <c r="D16" s="132">
        <f>SUM(D14*0.12*B14/360)</f>
        <v>90786.015833333324</v>
      </c>
      <c r="E16" s="132"/>
    </row>
    <row r="17" spans="1:9" ht="3.75" customHeight="1" x14ac:dyDescent="0.35">
      <c r="A17" s="133"/>
      <c r="B17" s="149"/>
      <c r="C17" s="143"/>
      <c r="D17" s="142"/>
      <c r="E17" s="132"/>
    </row>
    <row r="18" spans="1:9" ht="16.5" x14ac:dyDescent="0.35">
      <c r="A18" s="148" t="s">
        <v>85</v>
      </c>
      <c r="B18" s="147">
        <f>+B14</f>
        <v>210</v>
      </c>
      <c r="C18" s="146"/>
      <c r="D18" s="145">
        <f>+D11*B18/360</f>
        <v>1296943.0833333333</v>
      </c>
      <c r="E18" s="132"/>
    </row>
    <row r="19" spans="1:9" ht="4.5" customHeight="1" x14ac:dyDescent="0.35">
      <c r="A19" s="133" t="s">
        <v>84</v>
      </c>
      <c r="B19" s="144"/>
      <c r="C19" s="143"/>
      <c r="D19" s="142"/>
      <c r="E19" s="132"/>
    </row>
    <row r="20" spans="1:9" ht="16.5" x14ac:dyDescent="0.35">
      <c r="A20" s="133" t="s">
        <v>83</v>
      </c>
      <c r="B20" s="141">
        <f>+B14*15/360</f>
        <v>8.75</v>
      </c>
      <c r="D20" s="132">
        <f>D9/30*B20</f>
        <v>648471.54166666674</v>
      </c>
      <c r="E20" s="132"/>
    </row>
    <row r="21" spans="1:9" ht="3.75" customHeight="1" thickBot="1" x14ac:dyDescent="0.35">
      <c r="E21" s="132"/>
    </row>
    <row r="22" spans="1:9" ht="17.25" thickBot="1" x14ac:dyDescent="0.4">
      <c r="A22" s="133" t="s">
        <v>82</v>
      </c>
      <c r="B22" s="133"/>
      <c r="C22" s="137"/>
      <c r="D22" s="140">
        <f>SUM(D14:D20)</f>
        <v>3333143.7241666671</v>
      </c>
      <c r="E22" s="132"/>
    </row>
    <row r="23" spans="1:9" ht="5.25" customHeight="1" thickBot="1" x14ac:dyDescent="0.4">
      <c r="A23" s="133"/>
      <c r="B23" s="133"/>
      <c r="C23" s="137"/>
      <c r="D23" s="136"/>
      <c r="E23" s="132"/>
    </row>
    <row r="24" spans="1:9" ht="17.25" thickBot="1" x14ac:dyDescent="0.4">
      <c r="A24" s="133" t="s">
        <v>81</v>
      </c>
      <c r="D24" s="140">
        <f>SUM(D22:D23)</f>
        <v>3333143.7241666671</v>
      </c>
    </row>
    <row r="26" spans="1:9" x14ac:dyDescent="0.3">
      <c r="A26" s="129" t="s">
        <v>80</v>
      </c>
    </row>
    <row r="28" spans="1:9" x14ac:dyDescent="0.3">
      <c r="A28" s="129" t="s">
        <v>79</v>
      </c>
    </row>
    <row r="29" spans="1:9" x14ac:dyDescent="0.3">
      <c r="A29" s="129" t="s">
        <v>78</v>
      </c>
    </row>
    <row r="30" spans="1:9" x14ac:dyDescent="0.3">
      <c r="A30" s="129" t="s">
        <v>77</v>
      </c>
    </row>
    <row r="32" spans="1:9" s="133" customFormat="1" ht="16.5" x14ac:dyDescent="0.35">
      <c r="A32" s="133" t="s">
        <v>76</v>
      </c>
      <c r="C32" s="137"/>
      <c r="D32" s="137" t="s">
        <v>75</v>
      </c>
      <c r="F32" s="137"/>
      <c r="G32" s="135"/>
      <c r="H32" s="135"/>
      <c r="I32" s="134"/>
    </row>
    <row r="33" spans="1:9" s="133" customFormat="1" ht="16.5" x14ac:dyDescent="0.35">
      <c r="A33" s="138"/>
      <c r="C33" s="137"/>
      <c r="D33" s="139"/>
      <c r="E33" s="138"/>
      <c r="F33" s="136"/>
      <c r="G33" s="135"/>
      <c r="H33" s="135"/>
      <c r="I33" s="134"/>
    </row>
    <row r="34" spans="1:9" s="133" customFormat="1" ht="16.5" x14ac:dyDescent="0.35">
      <c r="A34" s="133" t="s">
        <v>74</v>
      </c>
      <c r="C34" s="137"/>
      <c r="D34" s="137" t="s">
        <v>74</v>
      </c>
      <c r="F34" s="136"/>
      <c r="G34" s="135"/>
      <c r="H34" s="135"/>
      <c r="I34" s="134"/>
    </row>
  </sheetData>
  <mergeCells count="1">
    <mergeCell ref="A1:E1"/>
  </mergeCells>
  <pageMargins left="0.19685039370078741" right="0.19685039370078741" top="0.98425196850393704" bottom="0.98425196850393704" header="0" footer="0"/>
  <pageSetup orientation="portrait" horizontalDpi="120" verticalDpi="14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PLANTILLA</vt:lpstr>
      <vt:lpstr>Liquidación Presta. Sociales</vt:lpstr>
      <vt:lpstr>Liquidación Presta. Sociale (2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THANATOS</dc:creator>
  <cp:lastModifiedBy>Estefania</cp:lastModifiedBy>
  <dcterms:created xsi:type="dcterms:W3CDTF">2011-12-01T23:58:19Z</dcterms:created>
  <dcterms:modified xsi:type="dcterms:W3CDTF">2014-11-09T19:29:28Z</dcterms:modified>
</cp:coreProperties>
</file>